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3795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<sst xmlns="http://schemas.openxmlformats.org/spreadsheetml/2006/main" count="509" uniqueCount="117">
  <si>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</si>
  <si>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</si>
  <si>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</si>
  <si>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</si>
  <si>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</si>
  <si>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</si>
  <si>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</si>
  <si>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</si>
  <si>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</si>
  <si>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</si>
  <si>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</si>
  <si>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</si>
  <si>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</si>
  <si>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</si>
  <si>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</si>
  <si>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</si>
  <si>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</si>
  <si>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</si>
  <si>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</si>
  <si>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</si>
  <si>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Чай с сахаром</t>
  </si>
  <si>
    <t>Хлеб пшеничный</t>
  </si>
  <si>
    <t>30</t>
  </si>
  <si>
    <t>Обед</t>
  </si>
  <si>
    <t>Суп картофельный с бобовыми</t>
  </si>
  <si>
    <t>20</t>
  </si>
  <si>
    <t>Завтрак</t>
  </si>
  <si>
    <t xml:space="preserve">Завтрак </t>
  </si>
  <si>
    <t>Итого</t>
  </si>
  <si>
    <t>Всего</t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</si>
  <si>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</si>
  <si>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 xml:space="preserve">Компот из изюма </t>
  </si>
  <si>
    <t>Средний суточный рацион</t>
  </si>
  <si>
    <t>Бобовые отварные (горох)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</si>
  <si>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</si>
  <si>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</si>
  <si>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</si>
  <si>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</si>
  <si>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</si>
  <si>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</si>
  <si>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</si>
  <si>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</si>
  <si>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</si>
  <si>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</si>
  <si>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</si>
  <si>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</si>
  <si>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</si>
  <si>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т.т.к</t>
  </si>
  <si>
    <t>Суп из овощей со сметаной</t>
  </si>
  <si>
    <t>Печенье</t>
  </si>
  <si>
    <t>Вафли</t>
  </si>
  <si>
    <t>Щи из свежей капусты с картофелем со сметаной</t>
  </si>
  <si>
    <t>Котлеты рубленные из птицы"Вкусняшка"</t>
  </si>
  <si>
    <t>Суп картофельный с макароными изделиями со сметаной</t>
  </si>
  <si>
    <t>Рагу овощное с мясом</t>
  </si>
  <si>
    <t>т.т.к.</t>
  </si>
  <si>
    <t>Борщ с капустой картофелем со сметаной</t>
  </si>
  <si>
    <t>Тефтели изкур "Ежики домашние"</t>
  </si>
  <si>
    <t>60</t>
  </si>
  <si>
    <t>Чай с сахаром и лимоном</t>
  </si>
  <si>
    <t>ттк</t>
  </si>
  <si>
    <t>Всего за 10 дней</t>
  </si>
  <si>
    <t>школах под редакцией В.Т.Лапшиной 2004 Сборник рецептур В.А.Тутельяна 2011</t>
  </si>
  <si>
    <t>125/25</t>
  </si>
  <si>
    <t>Картофель отварной с маслом</t>
  </si>
  <si>
    <t xml:space="preserve">Запеканка картофельная с мясом  </t>
  </si>
  <si>
    <t xml:space="preserve">Голубцы ленивые из птицы  с соусом </t>
  </si>
  <si>
    <t xml:space="preserve">Рагу овощное с мясом </t>
  </si>
  <si>
    <r>
      <t>В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</si>
  <si>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Нарезка овощная (помидор соленый)</t>
  </si>
  <si>
    <t>Котлеты рубленные из кур "Цыпочка"</t>
  </si>
  <si>
    <t>Напиток лимонный</t>
  </si>
  <si>
    <t>Нарезка овощная (огурец соленый)</t>
  </si>
  <si>
    <t xml:space="preserve">Макароны отварные с маслом                       </t>
  </si>
  <si>
    <t>Рассольник  "Ленинградский" (перловка) со сметаной</t>
  </si>
  <si>
    <t>Котлета  рыбная "Любительская"</t>
  </si>
  <si>
    <t>Картофельное, тушенный с луком</t>
  </si>
  <si>
    <t>Щи из свежей капусты с картофелем, со сметаной</t>
  </si>
  <si>
    <t>Рассольник "Ленинградский" (перловка) со сметаной</t>
  </si>
  <si>
    <t>Печень по-строгановски</t>
  </si>
  <si>
    <t>Каша манная жидкая молочная с сахаром</t>
  </si>
  <si>
    <t>Фрукт (яблоко)</t>
  </si>
  <si>
    <t xml:space="preserve">                Полдник</t>
  </si>
  <si>
    <t>Каша молочная Дружба</t>
  </si>
  <si>
    <t>Котлета куриная</t>
  </si>
  <si>
    <t xml:space="preserve">Чай с сахаром </t>
  </si>
  <si>
    <t>Каша овсяная (геркулес) молочная с сахаром</t>
  </si>
  <si>
    <t xml:space="preserve">Кофейный напиток </t>
  </si>
  <si>
    <t>Каша молочная рисовая с сахаром</t>
  </si>
  <si>
    <t>Котлета рыбная</t>
  </si>
  <si>
    <t>Суп молочный с макаронными изделиями</t>
  </si>
  <si>
    <t>Булочка Любава</t>
  </si>
  <si>
    <t>Каша рисовая молочная с сахаром</t>
  </si>
  <si>
    <t xml:space="preserve">Котлета куриная </t>
  </si>
  <si>
    <t xml:space="preserve">Хлеб пшеничный </t>
  </si>
  <si>
    <t>Каша гречневая молочная с сахаром</t>
  </si>
  <si>
    <t>Фрукт (банан)</t>
  </si>
  <si>
    <t>150</t>
  </si>
  <si>
    <t xml:space="preserve">Чай сахаром </t>
  </si>
  <si>
    <t xml:space="preserve">Булочка Любава </t>
  </si>
  <si>
    <t>Каша манная с сахаром</t>
  </si>
  <si>
    <t>Чай сахаром и лимоном</t>
  </si>
  <si>
    <t xml:space="preserve">Котлета рыбная </t>
  </si>
  <si>
    <t xml:space="preserve">Каша овсянная (геркулес) молочная с сахаром </t>
  </si>
  <si>
    <t>Кофейный напиток</t>
  </si>
  <si>
    <t xml:space="preserve">Печенье </t>
  </si>
  <si>
    <t>175/2011</t>
  </si>
  <si>
    <t>150/10</t>
  </si>
  <si>
    <t>120/5</t>
  </si>
  <si>
    <t>50/30</t>
  </si>
  <si>
    <t>60/20</t>
  </si>
  <si>
    <t>100</t>
  </si>
  <si>
    <t>80/20</t>
  </si>
  <si>
    <t xml:space="preserve">                   10-ти дневное меню  для воспитанников детских дошкольных учреждений  возрастной группы 1-3 лет                                                        </t>
  </si>
  <si>
    <r>
      <rPr>
        <b/>
        <sz val="11"/>
        <rFont val="Arial"/>
        <family val="2"/>
      </rPr>
      <t>2-ой Завтрак</t>
    </r>
    <r>
      <rPr>
        <sz val="11"/>
        <rFont val="Arial"/>
        <family val="2"/>
      </rPr>
      <t xml:space="preserve"> </t>
    </r>
  </si>
  <si>
    <t>Йогурт</t>
  </si>
  <si>
    <t xml:space="preserve">Сок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</si>
</sst>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0.00;[Red]0.00"/>
    <numFmt numFmtId="177" formatCode="0.000"/>
    <numFmt numFmtId="178" formatCode="0.0000"/>
    <numFmt numFmtId="179" formatCode="0.00000"/>
    <numFmt numFmtId="180" formatCode="0.0"/>
    <numFmt numFmtId="181" formatCode="#,##0.000;[Red]#,##0.000"/>
    <numFmt numFmtId="182" formatCode="#,##0.0000;[Red]#,##0.0000"/>
    <numFmt numFmtId="183" formatCode="#,##0.0;[Red]#,##0.0"/>
    <numFmt numFmtId="184" formatCode="0.000000"/>
    <numFmt numFmtId="185" formatCode="0.000;[Red]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7" fillId="0" borderId="6" applyNumberFormat="0" applyFill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39" fillId="0" borderId="9" applyNumberFormat="0" applyFill="0" applyAlignment="0" applyProtection="0"/>
    <xf numFmtId="0" fontId="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0" fillId="0" borderId="12" applyNumberFormat="0" applyFill="0" applyAlignment="0" applyProtection="0"/>
    <xf numFmtId="0" fontId="41" fillId="47" borderId="13" applyNumberFormat="0" applyAlignment="0" applyProtection="0"/>
    <xf numFmtId="0" fontId="11" fillId="48" borderId="14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19" fillId="55" borderId="0" xfId="100" applyFont="1" applyFill="1" applyBorder="1">
      <alignment/>
      <protection/>
    </xf>
    <xf numFmtId="0" fontId="19" fillId="0" borderId="0" xfId="100" applyFont="1" applyBorder="1">
      <alignment/>
      <protection/>
    </xf>
    <xf numFmtId="0" fontId="20" fillId="0" borderId="0" xfId="100" applyFont="1" applyBorder="1" applyAlignment="1">
      <alignment horizontal="center"/>
      <protection/>
    </xf>
    <xf numFmtId="49" fontId="19" fillId="55" borderId="0" xfId="100" applyNumberFormat="1" applyFont="1" applyFill="1" applyBorder="1" applyAlignment="1">
      <alignment horizontal="center"/>
      <protection/>
    </xf>
    <xf numFmtId="0" fontId="19" fillId="55" borderId="0" xfId="100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center"/>
      <protection/>
    </xf>
    <xf numFmtId="0" fontId="19" fillId="0" borderId="0" xfId="100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9" fillId="0" borderId="19" xfId="100" applyFont="1" applyBorder="1" applyAlignment="1">
      <alignment horizontal="center"/>
      <protection/>
    </xf>
    <xf numFmtId="0" fontId="19" fillId="0" borderId="20" xfId="100" applyFont="1" applyBorder="1" applyAlignment="1">
      <alignment horizontal="center"/>
      <protection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23" xfId="100" applyFont="1" applyBorder="1" applyAlignment="1">
      <alignment horizontal="center"/>
      <protection/>
    </xf>
    <xf numFmtId="0" fontId="19" fillId="0" borderId="24" xfId="100" applyFont="1" applyBorder="1" applyAlignment="1">
      <alignment horizontal="center"/>
      <protection/>
    </xf>
    <xf numFmtId="0" fontId="19" fillId="0" borderId="25" xfId="100" applyFont="1" applyBorder="1" applyAlignment="1">
      <alignment horizontal="center"/>
      <protection/>
    </xf>
    <xf numFmtId="0" fontId="19" fillId="0" borderId="25" xfId="100" applyFont="1" applyFill="1" applyBorder="1" applyAlignment="1">
      <alignment horizontal="center"/>
      <protection/>
    </xf>
    <xf numFmtId="0" fontId="19" fillId="0" borderId="26" xfId="100" applyFont="1" applyBorder="1" applyAlignment="1">
      <alignment horizontal="center"/>
      <protection/>
    </xf>
    <xf numFmtId="0" fontId="19" fillId="0" borderId="0" xfId="100" applyFont="1">
      <alignment/>
      <protection/>
    </xf>
    <xf numFmtId="0" fontId="24" fillId="0" borderId="0" xfId="100" applyFont="1" applyAlignment="1">
      <alignment horizontal="center"/>
      <protection/>
    </xf>
    <xf numFmtId="0" fontId="19" fillId="0" borderId="0" xfId="100" applyFont="1" applyAlignment="1">
      <alignment horizontal="center"/>
      <protection/>
    </xf>
    <xf numFmtId="0" fontId="24" fillId="0" borderId="0" xfId="100" applyFont="1">
      <alignment/>
      <protection/>
    </xf>
    <xf numFmtId="0" fontId="24" fillId="0" borderId="26" xfId="100" applyFont="1" applyBorder="1">
      <alignment/>
      <protection/>
    </xf>
    <xf numFmtId="0" fontId="19" fillId="0" borderId="26" xfId="0" applyFont="1" applyFill="1" applyBorder="1" applyAlignment="1">
      <alignment vertical="center" wrapText="1"/>
    </xf>
    <xf numFmtId="0" fontId="19" fillId="55" borderId="25" xfId="100" applyFont="1" applyFill="1" applyBorder="1">
      <alignment/>
      <protection/>
    </xf>
    <xf numFmtId="0" fontId="19" fillId="0" borderId="26" xfId="0" applyFont="1" applyFill="1" applyBorder="1" applyAlignment="1">
      <alignment horizontal="center" vertical="center" wrapText="1"/>
    </xf>
    <xf numFmtId="0" fontId="19" fillId="55" borderId="27" xfId="100" applyFont="1" applyFill="1" applyBorder="1" applyAlignment="1">
      <alignment horizontal="center"/>
      <protection/>
    </xf>
    <xf numFmtId="0" fontId="19" fillId="55" borderId="27" xfId="100" applyFont="1" applyFill="1" applyBorder="1">
      <alignment/>
      <protection/>
    </xf>
    <xf numFmtId="0" fontId="19" fillId="55" borderId="26" xfId="100" applyFont="1" applyFill="1" applyBorder="1">
      <alignment/>
      <protection/>
    </xf>
    <xf numFmtId="0" fontId="19" fillId="55" borderId="26" xfId="100" applyFont="1" applyFill="1" applyBorder="1" applyAlignment="1">
      <alignment horizontal="center"/>
      <protection/>
    </xf>
    <xf numFmtId="49" fontId="19" fillId="55" borderId="26" xfId="100" applyNumberFormat="1" applyFont="1" applyFill="1" applyBorder="1" applyAlignment="1">
      <alignment horizontal="center"/>
      <protection/>
    </xf>
    <xf numFmtId="0" fontId="19" fillId="0" borderId="26" xfId="100" applyFont="1" applyBorder="1">
      <alignment/>
      <protection/>
    </xf>
    <xf numFmtId="173" fontId="24" fillId="0" borderId="26" xfId="100" applyNumberFormat="1" applyFont="1" applyBorder="1" applyAlignment="1">
      <alignment horizontal="center"/>
      <protection/>
    </xf>
    <xf numFmtId="174" fontId="24" fillId="0" borderId="26" xfId="100" applyNumberFormat="1" applyFont="1" applyBorder="1" applyAlignment="1">
      <alignment horizontal="center"/>
      <protection/>
    </xf>
    <xf numFmtId="0" fontId="24" fillId="0" borderId="26" xfId="100" applyNumberFormat="1" applyFont="1" applyBorder="1" applyAlignment="1">
      <alignment horizontal="center"/>
      <protection/>
    </xf>
    <xf numFmtId="0" fontId="24" fillId="0" borderId="0" xfId="100" applyFont="1" applyBorder="1" applyAlignment="1">
      <alignment horizontal="center"/>
      <protection/>
    </xf>
    <xf numFmtId="0" fontId="19" fillId="0" borderId="27" xfId="100" applyFont="1" applyBorder="1" applyAlignment="1">
      <alignment horizontal="center"/>
      <protection/>
    </xf>
    <xf numFmtId="0" fontId="19" fillId="55" borderId="26" xfId="100" applyFont="1" applyFill="1" applyBorder="1" applyAlignment="1">
      <alignment horizontal="left" vertical="distributed"/>
      <protection/>
    </xf>
    <xf numFmtId="0" fontId="19" fillId="55" borderId="26" xfId="100" applyFont="1" applyFill="1" applyBorder="1" applyAlignment="1">
      <alignment horizontal="center" vertical="center"/>
      <protection/>
    </xf>
    <xf numFmtId="0" fontId="19" fillId="55" borderId="25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center"/>
      <protection/>
    </xf>
    <xf numFmtId="0" fontId="19" fillId="0" borderId="28" xfId="100" applyFont="1" applyBorder="1" applyAlignment="1">
      <alignment horizontal="center"/>
      <protection/>
    </xf>
    <xf numFmtId="0" fontId="25" fillId="0" borderId="28" xfId="100" applyFont="1" applyBorder="1" applyAlignment="1">
      <alignment horizontal="center"/>
      <protection/>
    </xf>
    <xf numFmtId="0" fontId="25" fillId="0" borderId="0" xfId="100" applyFont="1" applyBorder="1" applyAlignment="1">
      <alignment horizontal="center"/>
      <protection/>
    </xf>
    <xf numFmtId="0" fontId="19" fillId="0" borderId="29" xfId="100" applyFont="1" applyBorder="1" applyAlignment="1">
      <alignment horizontal="center"/>
      <protection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19" fillId="0" borderId="33" xfId="100" applyFont="1" applyBorder="1" applyAlignment="1">
      <alignment horizontal="center"/>
      <protection/>
    </xf>
    <xf numFmtId="0" fontId="19" fillId="0" borderId="34" xfId="100" applyFont="1" applyBorder="1" applyAlignment="1">
      <alignment horizontal="center"/>
      <protection/>
    </xf>
    <xf numFmtId="0" fontId="19" fillId="0" borderId="26" xfId="100" applyNumberFormat="1" applyFont="1" applyBorder="1" applyAlignment="1">
      <alignment horizontal="center"/>
      <protection/>
    </xf>
    <xf numFmtId="0" fontId="19" fillId="56" borderId="35" xfId="0" applyFont="1" applyFill="1" applyBorder="1" applyAlignment="1">
      <alignment horizontal="left" vertical="center" wrapText="1"/>
    </xf>
    <xf numFmtId="0" fontId="19" fillId="55" borderId="21" xfId="100" applyFont="1" applyFill="1" applyBorder="1" applyAlignment="1">
      <alignment horizontal="center"/>
      <protection/>
    </xf>
    <xf numFmtId="0" fontId="19" fillId="55" borderId="27" xfId="100" applyFont="1" applyFill="1" applyBorder="1" applyAlignment="1">
      <alignment horizontal="left" vertical="distributed"/>
      <protection/>
    </xf>
    <xf numFmtId="0" fontId="19" fillId="55" borderId="36" xfId="100" applyFont="1" applyFill="1" applyBorder="1" applyAlignment="1">
      <alignment horizontal="center"/>
      <protection/>
    </xf>
    <xf numFmtId="0" fontId="24" fillId="55" borderId="34" xfId="100" applyFont="1" applyFill="1" applyBorder="1">
      <alignment/>
      <protection/>
    </xf>
    <xf numFmtId="0" fontId="19" fillId="55" borderId="34" xfId="100" applyFont="1" applyFill="1" applyBorder="1" applyAlignment="1">
      <alignment horizontal="center"/>
      <protection/>
    </xf>
    <xf numFmtId="0" fontId="25" fillId="55" borderId="0" xfId="100" applyFont="1" applyFill="1" applyBorder="1" applyAlignment="1">
      <alignment horizontal="center"/>
      <protection/>
    </xf>
    <xf numFmtId="49" fontId="19" fillId="0" borderId="0" xfId="100" applyNumberFormat="1" applyFont="1" applyBorder="1" applyAlignment="1">
      <alignment horizontal="center"/>
      <protection/>
    </xf>
    <xf numFmtId="0" fontId="24" fillId="0" borderId="0" xfId="100" applyFont="1" applyBorder="1">
      <alignment/>
      <protection/>
    </xf>
    <xf numFmtId="0" fontId="19" fillId="55" borderId="20" xfId="100" applyFont="1" applyFill="1" applyBorder="1" applyAlignment="1">
      <alignment horizontal="center"/>
      <protection/>
    </xf>
    <xf numFmtId="0" fontId="19" fillId="55" borderId="20" xfId="100" applyFont="1" applyFill="1" applyBorder="1">
      <alignment/>
      <protection/>
    </xf>
    <xf numFmtId="0" fontId="19" fillId="55" borderId="27" xfId="100" applyFont="1" applyFill="1" applyBorder="1" applyAlignment="1">
      <alignment horizontal="center" vertical="center"/>
      <protection/>
    </xf>
    <xf numFmtId="0" fontId="24" fillId="55" borderId="26" xfId="100" applyFont="1" applyFill="1" applyBorder="1">
      <alignment/>
      <protection/>
    </xf>
    <xf numFmtId="0" fontId="24" fillId="55" borderId="26" xfId="100" applyFont="1" applyFill="1" applyBorder="1" applyAlignment="1">
      <alignment horizontal="center"/>
      <protection/>
    </xf>
    <xf numFmtId="0" fontId="19" fillId="55" borderId="34" xfId="100" applyFont="1" applyFill="1" applyBorder="1">
      <alignment/>
      <protection/>
    </xf>
    <xf numFmtId="49" fontId="19" fillId="55" borderId="34" xfId="100" applyNumberFormat="1" applyFont="1" applyFill="1" applyBorder="1" applyAlignment="1">
      <alignment horizontal="center"/>
      <protection/>
    </xf>
    <xf numFmtId="0" fontId="19" fillId="55" borderId="23" xfId="100" applyFont="1" applyFill="1" applyBorder="1" applyAlignment="1">
      <alignment horizontal="center"/>
      <protection/>
    </xf>
    <xf numFmtId="0" fontId="24" fillId="0" borderId="26" xfId="100" applyFont="1" applyBorder="1" applyAlignment="1">
      <alignment horizontal="left"/>
      <protection/>
    </xf>
    <xf numFmtId="0" fontId="24" fillId="0" borderId="0" xfId="100" applyFont="1" applyBorder="1" applyAlignment="1">
      <alignment horizontal="left"/>
      <protection/>
    </xf>
    <xf numFmtId="0" fontId="25" fillId="0" borderId="0" xfId="100" applyFont="1" applyBorder="1" applyAlignment="1">
      <alignment horizontal="left"/>
      <protection/>
    </xf>
    <xf numFmtId="0" fontId="19" fillId="0" borderId="37" xfId="100" applyFont="1" applyBorder="1" applyAlignment="1">
      <alignment horizontal="center"/>
      <protection/>
    </xf>
    <xf numFmtId="0" fontId="19" fillId="0" borderId="38" xfId="100" applyFont="1" applyBorder="1" applyAlignment="1">
      <alignment horizontal="center"/>
      <protection/>
    </xf>
    <xf numFmtId="0" fontId="19" fillId="0" borderId="39" xfId="100" applyFont="1" applyFill="1" applyBorder="1" applyAlignment="1">
      <alignment horizontal="center"/>
      <protection/>
    </xf>
    <xf numFmtId="0" fontId="19" fillId="0" borderId="40" xfId="100" applyFont="1" applyBorder="1" applyAlignment="1">
      <alignment horizontal="center"/>
      <protection/>
    </xf>
    <xf numFmtId="0" fontId="19" fillId="0" borderId="41" xfId="100" applyFont="1" applyBorder="1" applyAlignment="1">
      <alignment horizontal="center"/>
      <protection/>
    </xf>
    <xf numFmtId="0" fontId="19" fillId="0" borderId="42" xfId="100" applyFont="1" applyBorder="1" applyAlignment="1">
      <alignment horizontal="center"/>
      <protection/>
    </xf>
    <xf numFmtId="0" fontId="19" fillId="0" borderId="43" xfId="100" applyFont="1" applyBorder="1" applyAlignment="1">
      <alignment horizontal="center"/>
      <protection/>
    </xf>
    <xf numFmtId="0" fontId="19" fillId="0" borderId="43" xfId="100" applyFont="1" applyFill="1" applyBorder="1" applyAlignment="1">
      <alignment horizontal="center"/>
      <protection/>
    </xf>
    <xf numFmtId="0" fontId="19" fillId="0" borderId="44" xfId="100" applyFont="1" applyFill="1" applyBorder="1" applyAlignment="1">
      <alignment horizontal="center"/>
      <protection/>
    </xf>
    <xf numFmtId="0" fontId="19" fillId="55" borderId="45" xfId="100" applyFont="1" applyFill="1" applyBorder="1" applyAlignment="1">
      <alignment horizontal="center"/>
      <protection/>
    </xf>
    <xf numFmtId="0" fontId="19" fillId="0" borderId="46" xfId="100" applyFont="1" applyBorder="1" applyAlignment="1">
      <alignment horizontal="center"/>
      <protection/>
    </xf>
    <xf numFmtId="0" fontId="19" fillId="0" borderId="47" xfId="100" applyFont="1" applyBorder="1" applyAlignment="1">
      <alignment horizontal="center"/>
      <protection/>
    </xf>
    <xf numFmtId="0" fontId="19" fillId="0" borderId="48" xfId="100" applyFont="1" applyBorder="1" applyAlignment="1">
      <alignment horizontal="center"/>
      <protection/>
    </xf>
    <xf numFmtId="0" fontId="19" fillId="0" borderId="49" xfId="100" applyFont="1" applyBorder="1" applyAlignment="1">
      <alignment horizontal="center"/>
      <protection/>
    </xf>
    <xf numFmtId="0" fontId="19" fillId="0" borderId="50" xfId="100" applyFont="1" applyBorder="1" applyAlignment="1">
      <alignment horizontal="center"/>
      <protection/>
    </xf>
    <xf numFmtId="0" fontId="19" fillId="0" borderId="48" xfId="100" applyFont="1" applyFill="1" applyBorder="1" applyAlignment="1">
      <alignment horizontal="center"/>
      <protection/>
    </xf>
    <xf numFmtId="0" fontId="19" fillId="0" borderId="47" xfId="100" applyFont="1" applyFill="1" applyBorder="1" applyAlignment="1">
      <alignment horizontal="center"/>
      <protection/>
    </xf>
    <xf numFmtId="0" fontId="19" fillId="55" borderId="27" xfId="100" applyFont="1" applyFill="1" applyBorder="1" applyAlignment="1">
      <alignment vertical="distributed"/>
      <protection/>
    </xf>
    <xf numFmtId="0" fontId="25" fillId="55" borderId="0" xfId="100" applyFont="1" applyFill="1" applyBorder="1">
      <alignment/>
      <protection/>
    </xf>
    <xf numFmtId="0" fontId="26" fillId="0" borderId="0" xfId="100" applyFont="1" applyFill="1" applyBorder="1" applyAlignment="1">
      <alignment horizontal="center"/>
      <protection/>
    </xf>
    <xf numFmtId="0" fontId="19" fillId="55" borderId="26" xfId="0" applyNumberFormat="1" applyFont="1" applyFill="1" applyBorder="1" applyAlignment="1">
      <alignment vertical="top" wrapText="1"/>
    </xf>
    <xf numFmtId="0" fontId="19" fillId="55" borderId="26" xfId="0" applyNumberFormat="1" applyFont="1" applyFill="1" applyBorder="1" applyAlignment="1">
      <alignment horizontal="center" vertical="center"/>
    </xf>
    <xf numFmtId="0" fontId="24" fillId="0" borderId="26" xfId="100" applyFont="1" applyBorder="1" applyAlignment="1">
      <alignment horizontal="right"/>
      <protection/>
    </xf>
    <xf numFmtId="0" fontId="25" fillId="0" borderId="0" xfId="100" applyFont="1" applyBorder="1">
      <alignment/>
      <protection/>
    </xf>
    <xf numFmtId="0" fontId="27" fillId="0" borderId="0" xfId="100" applyFont="1" applyBorder="1" applyAlignment="1">
      <alignment horizontal="center"/>
      <protection/>
    </xf>
    <xf numFmtId="0" fontId="20" fillId="55" borderId="0" xfId="100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distributed"/>
    </xf>
    <xf numFmtId="0" fontId="19" fillId="0" borderId="26" xfId="100" applyFont="1" applyFill="1" applyBorder="1" applyAlignment="1">
      <alignment wrapText="1"/>
      <protection/>
    </xf>
    <xf numFmtId="174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 wrapText="1"/>
    </xf>
    <xf numFmtId="173" fontId="19" fillId="55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26" xfId="100" applyFont="1" applyFill="1" applyBorder="1" applyAlignment="1">
      <alignment horizontal="center"/>
      <protection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 vertical="distributed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distributed"/>
    </xf>
    <xf numFmtId="0" fontId="19" fillId="0" borderId="26" xfId="0" applyFont="1" applyBorder="1" applyAlignment="1">
      <alignment horizontal="center"/>
    </xf>
    <xf numFmtId="2" fontId="19" fillId="0" borderId="26" xfId="100" applyNumberFormat="1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19" fillId="55" borderId="26" xfId="0" applyFont="1" applyFill="1" applyBorder="1" applyAlignment="1">
      <alignment horizontal="center" vertical="center" wrapText="1"/>
    </xf>
    <xf numFmtId="0" fontId="19" fillId="55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9" fillId="0" borderId="51" xfId="100" applyFont="1" applyBorder="1" applyAlignment="1">
      <alignment horizontal="center"/>
      <protection/>
    </xf>
    <xf numFmtId="0" fontId="19" fillId="0" borderId="52" xfId="100" applyFont="1" applyBorder="1" applyAlignment="1">
      <alignment horizontal="center"/>
      <protection/>
    </xf>
    <xf numFmtId="0" fontId="19" fillId="0" borderId="45" xfId="100" applyFont="1" applyBorder="1" applyAlignment="1">
      <alignment horizontal="center"/>
      <protection/>
    </xf>
    <xf numFmtId="0" fontId="51" fillId="55" borderId="26" xfId="100" applyFont="1" applyFill="1" applyBorder="1" applyAlignment="1">
      <alignment horizontal="center"/>
      <protection/>
    </xf>
    <xf numFmtId="0" fontId="19" fillId="0" borderId="26" xfId="100" applyFont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19" fillId="57" borderId="26" xfId="0" applyFont="1" applyFill="1" applyBorder="1" applyAlignment="1">
      <alignment/>
    </xf>
    <xf numFmtId="0" fontId="19" fillId="57" borderId="26" xfId="100" applyFont="1" applyFill="1" applyBorder="1" applyAlignment="1">
      <alignment horizontal="center"/>
      <protection/>
    </xf>
    <xf numFmtId="0" fontId="19" fillId="57" borderId="26" xfId="100" applyFont="1" applyFill="1" applyBorder="1">
      <alignment/>
      <protection/>
    </xf>
    <xf numFmtId="173" fontId="19" fillId="57" borderId="26" xfId="0" applyNumberFormat="1" applyFont="1" applyFill="1" applyBorder="1" applyAlignment="1">
      <alignment horizontal="center" vertical="center" wrapText="1"/>
    </xf>
    <xf numFmtId="174" fontId="19" fillId="57" borderId="26" xfId="0" applyNumberFormat="1" applyFont="1" applyFill="1" applyBorder="1" applyAlignment="1">
      <alignment horizontal="center" vertical="center" wrapText="1"/>
    </xf>
    <xf numFmtId="173" fontId="19" fillId="57" borderId="26" xfId="0" applyNumberFormat="1" applyFont="1" applyFill="1" applyBorder="1" applyAlignment="1">
      <alignment horizontal="center" vertical="center"/>
    </xf>
    <xf numFmtId="0" fontId="19" fillId="0" borderId="26" xfId="100" applyFont="1" applyBorder="1" applyAlignment="1">
      <alignment horizontal="left" vertical="center"/>
      <protection/>
    </xf>
    <xf numFmtId="0" fontId="19" fillId="55" borderId="27" xfId="100" applyFont="1" applyFill="1" applyBorder="1" applyAlignment="1">
      <alignment horizontal="left"/>
      <protection/>
    </xf>
    <xf numFmtId="0" fontId="24" fillId="0" borderId="0" xfId="100" applyFont="1" applyAlignment="1">
      <alignment/>
      <protection/>
    </xf>
    <xf numFmtId="0" fontId="29" fillId="57" borderId="26" xfId="0" applyFont="1" applyFill="1" applyBorder="1" applyAlignment="1">
      <alignment horizontal="left" wrapText="1"/>
    </xf>
    <xf numFmtId="0" fontId="29" fillId="57" borderId="26" xfId="0" applyFont="1" applyFill="1" applyBorder="1" applyAlignment="1">
      <alignment horizontal="center" wrapText="1"/>
    </xf>
    <xf numFmtId="0" fontId="24" fillId="0" borderId="0" xfId="100" applyFont="1" applyAlignment="1">
      <alignment horizontal="left"/>
      <protection/>
    </xf>
    <xf numFmtId="0" fontId="19" fillId="57" borderId="26" xfId="100" applyFont="1" applyFill="1" applyBorder="1" applyAlignment="1">
      <alignment horizontal="center" vertical="center"/>
      <protection/>
    </xf>
    <xf numFmtId="173" fontId="24" fillId="55" borderId="26" xfId="100" applyNumberFormat="1" applyFont="1" applyFill="1" applyBorder="1" applyAlignment="1">
      <alignment horizontal="center"/>
      <protection/>
    </xf>
    <xf numFmtId="0" fontId="24" fillId="57" borderId="0" xfId="100" applyFont="1" applyFill="1" applyAlignment="1">
      <alignment horizontal="left"/>
      <protection/>
    </xf>
    <xf numFmtId="0" fontId="19" fillId="57" borderId="26" xfId="0" applyFont="1" applyFill="1" applyBorder="1" applyAlignment="1">
      <alignment horizontal="center" vertical="center" wrapText="1"/>
    </xf>
    <xf numFmtId="0" fontId="19" fillId="57" borderId="26" xfId="100" applyFont="1" applyFill="1" applyBorder="1" applyAlignment="1">
      <alignment horizontal="center" wrapText="1"/>
      <protection/>
    </xf>
    <xf numFmtId="0" fontId="19" fillId="57" borderId="0" xfId="100" applyFont="1" applyFill="1" applyBorder="1" applyAlignment="1">
      <alignment horizontal="center"/>
      <protection/>
    </xf>
    <xf numFmtId="0" fontId="19" fillId="57" borderId="27" xfId="100" applyFont="1" applyFill="1" applyBorder="1" applyAlignment="1">
      <alignment horizontal="center"/>
      <protection/>
    </xf>
    <xf numFmtId="2" fontId="19" fillId="55" borderId="26" xfId="100" applyNumberFormat="1" applyFont="1" applyFill="1" applyBorder="1" applyAlignment="1">
      <alignment horizontal="center"/>
      <protection/>
    </xf>
    <xf numFmtId="2" fontId="19" fillId="55" borderId="26" xfId="100" applyNumberFormat="1" applyFont="1" applyFill="1" applyBorder="1" applyAlignment="1">
      <alignment horizontal="center" vertical="distributed"/>
      <protection/>
    </xf>
    <xf numFmtId="2" fontId="19" fillId="0" borderId="26" xfId="100" applyNumberFormat="1" applyFont="1" applyBorder="1" applyAlignment="1">
      <alignment horizontal="center" vertical="distributed"/>
      <protection/>
    </xf>
    <xf numFmtId="2" fontId="19" fillId="55" borderId="26" xfId="100" applyNumberFormat="1" applyFont="1" applyFill="1" applyBorder="1" applyAlignment="1">
      <alignment/>
      <protection/>
    </xf>
    <xf numFmtId="2" fontId="19" fillId="0" borderId="26" xfId="100" applyNumberFormat="1" applyFont="1" applyBorder="1" applyAlignment="1">
      <alignment/>
      <protection/>
    </xf>
    <xf numFmtId="2" fontId="19" fillId="57" borderId="26" xfId="100" applyNumberFormat="1" applyFont="1" applyFill="1" applyBorder="1" applyAlignment="1">
      <alignment horizontal="center" vertical="center"/>
      <protection/>
    </xf>
    <xf numFmtId="2" fontId="24" fillId="0" borderId="26" xfId="100" applyNumberFormat="1" applyFont="1" applyBorder="1" applyAlignment="1">
      <alignment horizontal="center"/>
      <protection/>
    </xf>
    <xf numFmtId="2" fontId="24" fillId="0" borderId="26" xfId="100" applyNumberFormat="1" applyFont="1" applyBorder="1" applyAlignment="1">
      <alignment/>
      <protection/>
    </xf>
    <xf numFmtId="2" fontId="19" fillId="55" borderId="26" xfId="0" applyNumberFormat="1" applyFont="1" applyFill="1" applyBorder="1" applyAlignment="1">
      <alignment vertical="center" wrapText="1"/>
    </xf>
    <xf numFmtId="2" fontId="19" fillId="55" borderId="26" xfId="0" applyNumberFormat="1" applyFont="1" applyFill="1" applyBorder="1" applyAlignment="1">
      <alignment vertical="center"/>
    </xf>
    <xf numFmtId="173" fontId="19" fillId="55" borderId="27" xfId="100" applyNumberFormat="1" applyFont="1" applyFill="1" applyBorder="1" applyAlignment="1">
      <alignment horizontal="center"/>
      <protection/>
    </xf>
    <xf numFmtId="173" fontId="19" fillId="0" borderId="27" xfId="100" applyNumberFormat="1" applyFont="1" applyBorder="1" applyAlignment="1">
      <alignment horizontal="center"/>
      <protection/>
    </xf>
    <xf numFmtId="173" fontId="19" fillId="55" borderId="26" xfId="100" applyNumberFormat="1" applyFont="1" applyFill="1" applyBorder="1" applyAlignment="1">
      <alignment horizontal="center" vertical="distributed"/>
      <protection/>
    </xf>
    <xf numFmtId="173" fontId="19" fillId="0" borderId="26" xfId="100" applyNumberFormat="1" applyFont="1" applyBorder="1" applyAlignment="1">
      <alignment horizontal="center" vertical="distributed"/>
      <protection/>
    </xf>
    <xf numFmtId="173" fontId="19" fillId="55" borderId="26" xfId="100" applyNumberFormat="1" applyFont="1" applyFill="1" applyBorder="1" applyAlignment="1">
      <alignment horizontal="center"/>
      <protection/>
    </xf>
    <xf numFmtId="173" fontId="19" fillId="0" borderId="26" xfId="100" applyNumberFormat="1" applyFont="1" applyBorder="1" applyAlignment="1">
      <alignment horizontal="center"/>
      <protection/>
    </xf>
    <xf numFmtId="173" fontId="19" fillId="57" borderId="26" xfId="100" applyNumberFormat="1" applyFont="1" applyFill="1" applyBorder="1" applyAlignment="1">
      <alignment horizontal="center"/>
      <protection/>
    </xf>
    <xf numFmtId="173" fontId="19" fillId="55" borderId="36" xfId="100" applyNumberFormat="1" applyFont="1" applyFill="1" applyBorder="1" applyAlignment="1">
      <alignment horizontal="center"/>
      <protection/>
    </xf>
    <xf numFmtId="173" fontId="19" fillId="0" borderId="20" xfId="100" applyNumberFormat="1" applyFont="1" applyBorder="1" applyAlignment="1">
      <alignment horizontal="center"/>
      <protection/>
    </xf>
    <xf numFmtId="173" fontId="19" fillId="0" borderId="53" xfId="100" applyNumberFormat="1" applyFont="1" applyBorder="1" applyAlignment="1">
      <alignment horizontal="center"/>
      <protection/>
    </xf>
    <xf numFmtId="173" fontId="28" fillId="57" borderId="26" xfId="100" applyNumberFormat="1" applyFont="1" applyFill="1" applyBorder="1" applyAlignment="1">
      <alignment horizontal="center"/>
      <protection/>
    </xf>
    <xf numFmtId="176" fontId="19" fillId="55" borderId="26" xfId="0" applyNumberFormat="1" applyFont="1" applyFill="1" applyBorder="1" applyAlignment="1">
      <alignment horizontal="center" vertical="center" wrapText="1"/>
    </xf>
    <xf numFmtId="176" fontId="19" fillId="55" borderId="26" xfId="0" applyNumberFormat="1" applyFont="1" applyFill="1" applyBorder="1" applyAlignment="1">
      <alignment horizontal="center" vertical="center"/>
    </xf>
    <xf numFmtId="176" fontId="19" fillId="55" borderId="26" xfId="100" applyNumberFormat="1" applyFont="1" applyFill="1" applyBorder="1" applyAlignment="1">
      <alignment horizontal="center"/>
      <protection/>
    </xf>
    <xf numFmtId="176" fontId="19" fillId="0" borderId="26" xfId="100" applyNumberFormat="1" applyFont="1" applyBorder="1" applyAlignment="1">
      <alignment horizontal="center"/>
      <protection/>
    </xf>
    <xf numFmtId="176" fontId="24" fillId="0" borderId="26" xfId="100" applyNumberFormat="1" applyFont="1" applyBorder="1" applyAlignment="1">
      <alignment horizontal="center"/>
      <protection/>
    </xf>
    <xf numFmtId="176" fontId="24" fillId="55" borderId="26" xfId="100" applyNumberFormat="1" applyFont="1" applyFill="1" applyBorder="1" applyAlignment="1">
      <alignment horizontal="center"/>
      <protection/>
    </xf>
    <xf numFmtId="2" fontId="19" fillId="57" borderId="54" xfId="0" applyNumberFormat="1" applyFont="1" applyFill="1" applyBorder="1" applyAlignment="1">
      <alignment horizontal="center" vertical="center" wrapText="1"/>
    </xf>
    <xf numFmtId="2" fontId="19" fillId="57" borderId="35" xfId="0" applyNumberFormat="1" applyFont="1" applyFill="1" applyBorder="1" applyAlignment="1">
      <alignment horizontal="center" vertical="center" wrapText="1"/>
    </xf>
    <xf numFmtId="2" fontId="19" fillId="55" borderId="36" xfId="100" applyNumberFormat="1" applyFont="1" applyFill="1" applyBorder="1" applyAlignment="1">
      <alignment horizontal="center"/>
      <protection/>
    </xf>
    <xf numFmtId="2" fontId="19" fillId="0" borderId="20" xfId="100" applyNumberFormat="1" applyFont="1" applyBorder="1" applyAlignment="1">
      <alignment horizontal="center"/>
      <protection/>
    </xf>
    <xf numFmtId="2" fontId="19" fillId="0" borderId="53" xfId="100" applyNumberFormat="1" applyFont="1" applyBorder="1" applyAlignment="1">
      <alignment horizontal="center"/>
      <protection/>
    </xf>
    <xf numFmtId="2" fontId="19" fillId="55" borderId="21" xfId="100" applyNumberFormat="1" applyFont="1" applyFill="1" applyBorder="1" applyAlignment="1">
      <alignment horizontal="center"/>
      <protection/>
    </xf>
    <xf numFmtId="2" fontId="19" fillId="0" borderId="25" xfId="100" applyNumberFormat="1" applyFont="1" applyBorder="1" applyAlignment="1">
      <alignment horizontal="center"/>
      <protection/>
    </xf>
    <xf numFmtId="173" fontId="19" fillId="55" borderId="21" xfId="100" applyNumberFormat="1" applyFont="1" applyFill="1" applyBorder="1" applyAlignment="1">
      <alignment horizontal="center"/>
      <protection/>
    </xf>
    <xf numFmtId="173" fontId="19" fillId="0" borderId="25" xfId="100" applyNumberFormat="1" applyFont="1" applyBorder="1" applyAlignment="1">
      <alignment horizontal="center"/>
      <protection/>
    </xf>
    <xf numFmtId="2" fontId="19" fillId="0" borderId="21" xfId="100" applyNumberFormat="1" applyFont="1" applyBorder="1" applyAlignment="1">
      <alignment horizontal="center"/>
      <protection/>
    </xf>
    <xf numFmtId="2" fontId="19" fillId="55" borderId="26" xfId="0" applyNumberFormat="1" applyFont="1" applyFill="1" applyBorder="1" applyAlignment="1">
      <alignment horizontal="center" vertical="center" wrapText="1"/>
    </xf>
    <xf numFmtId="2" fontId="19" fillId="55" borderId="26" xfId="0" applyNumberFormat="1" applyFont="1" applyFill="1" applyBorder="1" applyAlignment="1">
      <alignment horizontal="center" vertical="center"/>
    </xf>
    <xf numFmtId="2" fontId="24" fillId="55" borderId="26" xfId="100" applyNumberFormat="1" applyFont="1" applyFill="1" applyBorder="1" applyAlignment="1">
      <alignment horizontal="center"/>
      <protection/>
    </xf>
    <xf numFmtId="0" fontId="19" fillId="57" borderId="26" xfId="0" applyFont="1" applyFill="1" applyBorder="1" applyAlignment="1">
      <alignment horizontal="center"/>
    </xf>
    <xf numFmtId="173" fontId="24" fillId="0" borderId="0" xfId="100" applyNumberFormat="1" applyFont="1" applyBorder="1" applyAlignment="1">
      <alignment horizontal="center"/>
      <protection/>
    </xf>
    <xf numFmtId="2" fontId="19" fillId="0" borderId="26" xfId="102" applyNumberFormat="1" applyFont="1" applyBorder="1" applyAlignment="1">
      <alignment horizontal="center" vertical="center" wrapText="1"/>
      <protection/>
    </xf>
    <xf numFmtId="2" fontId="24" fillId="55" borderId="34" xfId="100" applyNumberFormat="1" applyFont="1" applyFill="1" applyBorder="1" applyAlignment="1">
      <alignment horizontal="center"/>
      <protection/>
    </xf>
    <xf numFmtId="2" fontId="19" fillId="57" borderId="26" xfId="0" applyNumberFormat="1" applyFont="1" applyFill="1" applyBorder="1" applyAlignment="1">
      <alignment horizontal="center" vertical="center" wrapText="1"/>
    </xf>
    <xf numFmtId="2" fontId="19" fillId="57" borderId="26" xfId="0" applyNumberFormat="1" applyFont="1" applyFill="1" applyBorder="1" applyAlignment="1">
      <alignment horizontal="center" vertical="center"/>
    </xf>
    <xf numFmtId="173" fontId="19" fillId="0" borderId="26" xfId="0" applyNumberFormat="1" applyFont="1" applyFill="1" applyBorder="1" applyAlignment="1">
      <alignment vertical="center" wrapText="1"/>
    </xf>
    <xf numFmtId="173" fontId="19" fillId="0" borderId="26" xfId="0" applyNumberFormat="1" applyFont="1" applyFill="1" applyBorder="1" applyAlignment="1">
      <alignment horizontal="center" vertical="center" wrapText="1"/>
    </xf>
    <xf numFmtId="173" fontId="19" fillId="55" borderId="25" xfId="100" applyNumberFormat="1" applyFont="1" applyFill="1" applyBorder="1" applyAlignment="1">
      <alignment horizontal="center"/>
      <protection/>
    </xf>
    <xf numFmtId="173" fontId="19" fillId="55" borderId="26" xfId="100" applyNumberFormat="1" applyFont="1" applyFill="1" applyBorder="1">
      <alignment/>
      <protection/>
    </xf>
    <xf numFmtId="173" fontId="19" fillId="0" borderId="26" xfId="100" applyNumberFormat="1" applyFont="1" applyBorder="1">
      <alignment/>
      <protection/>
    </xf>
    <xf numFmtId="173" fontId="19" fillId="55" borderId="27" xfId="100" applyNumberFormat="1" applyFont="1" applyFill="1" applyBorder="1">
      <alignment/>
      <protection/>
    </xf>
    <xf numFmtId="173" fontId="19" fillId="0" borderId="26" xfId="102" applyNumberFormat="1" applyFont="1" applyBorder="1" applyAlignment="1">
      <alignment horizontal="center" vertical="center" wrapText="1"/>
      <protection/>
    </xf>
    <xf numFmtId="173" fontId="19" fillId="0" borderId="0" xfId="100" applyNumberFormat="1" applyFont="1" applyBorder="1" applyAlignment="1">
      <alignment horizontal="center"/>
      <protection/>
    </xf>
    <xf numFmtId="173" fontId="19" fillId="0" borderId="0" xfId="100" applyNumberFormat="1" applyFont="1" applyBorder="1">
      <alignment/>
      <protection/>
    </xf>
    <xf numFmtId="173" fontId="19" fillId="57" borderId="26" xfId="100" applyNumberFormat="1" applyFont="1" applyFill="1" applyBorder="1">
      <alignment/>
      <protection/>
    </xf>
    <xf numFmtId="173" fontId="19" fillId="55" borderId="45" xfId="100" applyNumberFormat="1" applyFont="1" applyFill="1" applyBorder="1" applyAlignment="1">
      <alignment horizontal="center"/>
      <protection/>
    </xf>
    <xf numFmtId="173" fontId="24" fillId="0" borderId="26" xfId="100" applyNumberFormat="1" applyFont="1" applyBorder="1">
      <alignment/>
      <protection/>
    </xf>
    <xf numFmtId="0" fontId="19" fillId="0" borderId="45" xfId="100" applyFont="1" applyBorder="1" applyAlignment="1">
      <alignment horizontal="center"/>
      <protection/>
    </xf>
    <xf numFmtId="0" fontId="19" fillId="0" borderId="55" xfId="100" applyFont="1" applyBorder="1" applyAlignment="1">
      <alignment horizontal="center"/>
      <protection/>
    </xf>
    <xf numFmtId="0" fontId="19" fillId="0" borderId="56" xfId="100" applyFont="1" applyBorder="1" applyAlignment="1">
      <alignment horizontal="center"/>
      <protection/>
    </xf>
    <xf numFmtId="173" fontId="19" fillId="0" borderId="45" xfId="100" applyNumberFormat="1" applyFont="1" applyBorder="1" applyAlignment="1">
      <alignment horizontal="center"/>
      <protection/>
    </xf>
    <xf numFmtId="173" fontId="19" fillId="0" borderId="55" xfId="100" applyNumberFormat="1" applyFont="1" applyBorder="1" applyAlignment="1">
      <alignment horizontal="center"/>
      <protection/>
    </xf>
    <xf numFmtId="173" fontId="19" fillId="0" borderId="56" xfId="100" applyNumberFormat="1" applyFont="1" applyBorder="1" applyAlignment="1">
      <alignment horizontal="center"/>
      <protection/>
    </xf>
    <xf numFmtId="0" fontId="24" fillId="0" borderId="45" xfId="100" applyFont="1" applyBorder="1" applyAlignment="1">
      <alignment horizontal="center"/>
      <protection/>
    </xf>
    <xf numFmtId="173" fontId="24" fillId="0" borderId="45" xfId="100" applyNumberFormat="1" applyFont="1" applyBorder="1" applyAlignment="1">
      <alignment horizontal="center"/>
      <protection/>
    </xf>
    <xf numFmtId="0" fontId="50" fillId="0" borderId="0" xfId="0" applyFont="1" applyAlignment="1">
      <alignment horizontal="center" vertical="distributed"/>
    </xf>
    <xf numFmtId="0" fontId="19" fillId="0" borderId="30" xfId="100" applyFont="1" applyBorder="1" applyAlignment="1">
      <alignment horizontal="center"/>
      <protection/>
    </xf>
    <xf numFmtId="0" fontId="19" fillId="0" borderId="31" xfId="100" applyFont="1" applyBorder="1" applyAlignment="1">
      <alignment horizontal="center"/>
      <protection/>
    </xf>
    <xf numFmtId="0" fontId="19" fillId="0" borderId="32" xfId="100" applyFont="1" applyBorder="1" applyAlignment="1">
      <alignment horizontal="center"/>
      <protection/>
    </xf>
    <xf numFmtId="0" fontId="24" fillId="0" borderId="0" xfId="100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9" fillId="0" borderId="21" xfId="100" applyFont="1" applyBorder="1" applyAlignment="1">
      <alignment horizontal="center"/>
      <protection/>
    </xf>
    <xf numFmtId="0" fontId="19" fillId="0" borderId="22" xfId="100" applyFont="1" applyBorder="1" applyAlignment="1">
      <alignment horizontal="center"/>
      <protection/>
    </xf>
    <xf numFmtId="0" fontId="19" fillId="0" borderId="57" xfId="100" applyFont="1" applyBorder="1" applyAlignment="1">
      <alignment horizontal="center"/>
      <protection/>
    </xf>
    <xf numFmtId="0" fontId="24" fillId="57" borderId="0" xfId="100" applyFont="1" applyFill="1" applyBorder="1" applyAlignment="1">
      <alignment horizontal="left" vertical="distributed"/>
      <protection/>
    </xf>
    <xf numFmtId="0" fontId="24" fillId="0" borderId="0" xfId="100" applyFont="1" applyBorder="1" applyAlignment="1">
      <alignment vertical="distributed"/>
      <protection/>
    </xf>
    <xf numFmtId="0" fontId="24" fillId="0" borderId="0" xfId="100" applyFont="1" applyBorder="1" applyAlignment="1">
      <alignment horizontal="left" vertical="distributed"/>
      <protection/>
    </xf>
    <xf numFmtId="0" fontId="19" fillId="0" borderId="58" xfId="100" applyFont="1" applyBorder="1" applyAlignment="1">
      <alignment horizontal="center"/>
      <protection/>
    </xf>
    <xf numFmtId="0" fontId="24" fillId="0" borderId="0" xfId="100" applyFont="1" applyBorder="1">
      <alignment/>
      <protection/>
    </xf>
  </cellXfs>
  <cellStyles count="10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3" xfId="101"/>
    <cellStyle name="Обычный_Меню ясли 10,5 час." xfId="102"/>
    <cellStyle name="Followed Hyperlink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4"/>
  <sheetViews>
    <sheetView showGridLines="0" tabSelected="1" zoomScale="95" zoomScaleNormal="95" zoomScaleSheetLayoutView="100" workbookViewId="0" topLeftCell="A31">
      <selection activeCell="O108" sqref="O108"/>
    </sheetView>
  </sheetViews>
  <sheetFormatPr defaultColWidth="9.140625" defaultRowHeight="15"/>
  <cols>
    <col min="1" max="1" width="10.8515625" style="111" customWidth="1"/>
    <col min="2" max="2" width="68.8515625" style="97" bestFit="1" customWidth="1"/>
    <col min="3" max="3" width="7.8515625" style="111" customWidth="1"/>
    <col min="4" max="4" width="7.421875" style="111" customWidth="1"/>
    <col min="5" max="5" width="9.140625" style="111" customWidth="1"/>
    <col min="6" max="6" width="11.00390625" style="111" customWidth="1"/>
    <col min="7" max="7" width="11.7109375" style="111" customWidth="1"/>
    <col min="8" max="8" width="8.00390625" style="111" customWidth="1"/>
    <col min="9" max="9" width="8.421875" style="111" customWidth="1"/>
    <col min="10" max="10" width="8.28125" style="111" customWidth="1"/>
    <col min="11" max="11" width="8.57421875" style="111" customWidth="1"/>
    <col min="12" max="12" width="7.7109375" style="111" customWidth="1"/>
    <col min="13" max="13" width="12.421875" style="111" bestFit="1" customWidth="1"/>
    <col min="14" max="14" width="7.7109375" style="111" customWidth="1"/>
    <col min="15" max="15" width="7.00390625" style="111" customWidth="1"/>
    <col min="16" max="16" width="9.140625" style="97" customWidth="1"/>
    <col min="17" max="16384" width="9.140625" style="97" customWidth="1"/>
  </cols>
  <sheetData>
    <row r="1" spans="1:15" ht="14.25">
      <c r="A1" s="212"/>
      <c r="B1" s="212"/>
      <c r="C1" s="212"/>
      <c r="D1" s="212"/>
      <c r="E1" s="212"/>
      <c r="F1" s="212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30" customHeight="1">
      <c r="A2" s="207" t="s">
        <v>113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4.25">
      <c r="A3" s="106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>
      <c r="A4" s="10" t="s">
        <v>0</v>
      </c>
      <c r="B4" s="9" t="s">
        <v>1</v>
      </c>
      <c r="C4" s="10" t="s">
        <v>2</v>
      </c>
      <c r="D4" s="214" t="s">
        <v>3</v>
      </c>
      <c r="E4" s="215"/>
      <c r="F4" s="216"/>
      <c r="G4" s="10" t="s">
        <v>4</v>
      </c>
      <c r="H4" s="214" t="s">
        <v>5</v>
      </c>
      <c r="I4" s="215"/>
      <c r="J4" s="215"/>
      <c r="K4" s="216"/>
      <c r="L4" s="214" t="s">
        <v>6</v>
      </c>
      <c r="M4" s="215"/>
      <c r="N4" s="215"/>
      <c r="O4" s="216"/>
    </row>
    <row r="5" spans="1:15" ht="18.75">
      <c r="A5" s="13" t="s">
        <v>7</v>
      </c>
      <c r="B5" s="14"/>
      <c r="C5" s="13"/>
      <c r="D5" s="13" t="s">
        <v>8</v>
      </c>
      <c r="E5" s="13" t="s">
        <v>9</v>
      </c>
      <c r="F5" s="13" t="s">
        <v>10</v>
      </c>
      <c r="G5" s="13" t="s">
        <v>11</v>
      </c>
      <c r="H5" s="15" t="s">
        <v>68</v>
      </c>
      <c r="I5" s="15" t="s">
        <v>12</v>
      </c>
      <c r="J5" s="15" t="s">
        <v>13</v>
      </c>
      <c r="K5" s="15" t="s">
        <v>14</v>
      </c>
      <c r="L5" s="16" t="s">
        <v>15</v>
      </c>
      <c r="M5" s="16" t="s">
        <v>16</v>
      </c>
      <c r="N5" s="16" t="s">
        <v>17</v>
      </c>
      <c r="O5" s="16" t="s">
        <v>18</v>
      </c>
    </row>
    <row r="6" spans="1:15" ht="14.25">
      <c r="A6" s="15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5">
        <v>8</v>
      </c>
      <c r="I6" s="15">
        <v>9</v>
      </c>
      <c r="J6" s="15">
        <v>10</v>
      </c>
      <c r="K6" s="15">
        <v>11</v>
      </c>
      <c r="L6" s="16">
        <v>12</v>
      </c>
      <c r="M6" s="16">
        <v>13</v>
      </c>
      <c r="N6" s="16">
        <v>14</v>
      </c>
      <c r="O6" s="16">
        <v>15</v>
      </c>
    </row>
    <row r="7" spans="1:15" ht="15">
      <c r="A7" s="20"/>
      <c r="B7" s="18"/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</row>
    <row r="8" spans="1:15" ht="15">
      <c r="A8" s="20"/>
      <c r="B8" s="21" t="s">
        <v>39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5">
      <c r="A9" s="136" t="s">
        <v>19</v>
      </c>
      <c r="B9" s="136"/>
      <c r="C9" s="20"/>
      <c r="D9" s="211" t="s">
        <v>27</v>
      </c>
      <c r="E9" s="211"/>
      <c r="F9" s="19"/>
      <c r="G9" s="20"/>
      <c r="H9" s="20"/>
      <c r="I9" s="20"/>
      <c r="J9" s="20"/>
      <c r="K9" s="20"/>
      <c r="L9" s="20"/>
      <c r="M9" s="20"/>
      <c r="N9" s="20"/>
      <c r="O9" s="20"/>
    </row>
    <row r="10" spans="1:15" ht="27.75" customHeight="1">
      <c r="A10" s="217" t="s">
        <v>62</v>
      </c>
      <c r="B10" s="21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4.25">
      <c r="A11" s="17">
        <v>161</v>
      </c>
      <c r="B11" s="23" t="s">
        <v>80</v>
      </c>
      <c r="C11" s="137">
        <v>170</v>
      </c>
      <c r="D11" s="125">
        <f>6.343*170/200</f>
        <v>5.39155</v>
      </c>
      <c r="E11" s="125">
        <f>7.004*170/200</f>
        <v>5.953399999999999</v>
      </c>
      <c r="F11" s="125">
        <f>25.191*170/200</f>
        <v>21.41235</v>
      </c>
      <c r="G11" s="125">
        <f>173.79*170/200</f>
        <v>147.7215</v>
      </c>
      <c r="H11" s="125">
        <v>0</v>
      </c>
      <c r="I11" s="125">
        <f>1.76*170/200</f>
        <v>1.496</v>
      </c>
      <c r="J11" s="127">
        <f>0.3897*170/200</f>
        <v>0.33124499999999996</v>
      </c>
      <c r="K11" s="127">
        <f>0.1102*170/200</f>
        <v>0.09367</v>
      </c>
      <c r="L11" s="127">
        <f>0.2213*170/200</f>
        <v>0.18810500000000002</v>
      </c>
      <c r="M11" s="127">
        <f>0.01959*170/200</f>
        <v>0.0166515</v>
      </c>
      <c r="N11" s="127">
        <f>0.03*170/200</f>
        <v>0.0255</v>
      </c>
      <c r="O11" s="127">
        <f>27.842*170/200</f>
        <v>23.665699999999998</v>
      </c>
    </row>
    <row r="12" spans="1:15" ht="16.5" customHeight="1">
      <c r="A12" s="29">
        <v>685</v>
      </c>
      <c r="B12" s="99" t="s">
        <v>20</v>
      </c>
      <c r="C12" s="138">
        <v>150</v>
      </c>
      <c r="D12" s="155">
        <f>0.2*150/180</f>
        <v>0.16666666666666666</v>
      </c>
      <c r="E12" s="155">
        <v>0</v>
      </c>
      <c r="F12" s="155">
        <f>15*150/180</f>
        <v>12.5</v>
      </c>
      <c r="G12" s="155">
        <f>58*150/180</f>
        <v>48.333333333333336</v>
      </c>
      <c r="H12" s="156">
        <v>0</v>
      </c>
      <c r="I12" s="156">
        <f>2.2*150/180</f>
        <v>1.8333333333333333</v>
      </c>
      <c r="J12" s="156">
        <v>0</v>
      </c>
      <c r="K12" s="156">
        <v>0</v>
      </c>
      <c r="L12" s="156">
        <f>87*150/180</f>
        <v>72.5</v>
      </c>
      <c r="M12" s="156">
        <f>68*150/180</f>
        <v>56.666666666666664</v>
      </c>
      <c r="N12" s="156">
        <f>14*150/180</f>
        <v>11.666666666666666</v>
      </c>
      <c r="O12" s="156">
        <f>0.8*150/180</f>
        <v>0.6666666666666666</v>
      </c>
    </row>
    <row r="13" spans="1:15" ht="14.25">
      <c r="A13" s="26"/>
      <c r="B13" s="27" t="s">
        <v>21</v>
      </c>
      <c r="C13" s="123">
        <v>20</v>
      </c>
      <c r="D13" s="155">
        <f>2.02*20/30</f>
        <v>1.3466666666666667</v>
      </c>
      <c r="E13" s="155">
        <f>0.4*20/30</f>
        <v>0.26666666666666666</v>
      </c>
      <c r="F13" s="155">
        <f>12.1*20/30</f>
        <v>8.066666666666666</v>
      </c>
      <c r="G13" s="155">
        <f>65*20/30</f>
        <v>43.333333333333336</v>
      </c>
      <c r="H13" s="156">
        <f>0.05*20/30</f>
        <v>0.03333333333333333</v>
      </c>
      <c r="I13" s="156">
        <v>0</v>
      </c>
      <c r="J13" s="156">
        <v>0</v>
      </c>
      <c r="K13" s="156">
        <f>0.45*20/30</f>
        <v>0.3</v>
      </c>
      <c r="L13" s="156">
        <f>7.5*20/30</f>
        <v>5</v>
      </c>
      <c r="M13" s="156">
        <f>24.68*20/30</f>
        <v>16.453333333333333</v>
      </c>
      <c r="N13" s="156">
        <f>5.32*20/30</f>
        <v>3.546666666666667</v>
      </c>
      <c r="O13" s="156">
        <f>0.45*20/30</f>
        <v>0.3</v>
      </c>
    </row>
    <row r="14" spans="1:15" ht="15">
      <c r="A14" s="17"/>
      <c r="B14" s="31" t="s">
        <v>28</v>
      </c>
      <c r="C14" s="123"/>
      <c r="D14" s="32">
        <f aca="true" t="shared" si="0" ref="D14:O14">SUM(D11:D13)</f>
        <v>6.904883333333333</v>
      </c>
      <c r="E14" s="32">
        <f t="shared" si="0"/>
        <v>6.220066666666666</v>
      </c>
      <c r="F14" s="32">
        <f t="shared" si="0"/>
        <v>41.979016666666666</v>
      </c>
      <c r="G14" s="32">
        <f t="shared" si="0"/>
        <v>239.38816666666668</v>
      </c>
      <c r="H14" s="32">
        <f t="shared" si="0"/>
        <v>0.03333333333333333</v>
      </c>
      <c r="I14" s="32">
        <f t="shared" si="0"/>
        <v>3.3293333333333335</v>
      </c>
      <c r="J14" s="32">
        <f t="shared" si="0"/>
        <v>0.33124499999999996</v>
      </c>
      <c r="K14" s="32">
        <f t="shared" si="0"/>
        <v>0.39366999999999996</v>
      </c>
      <c r="L14" s="32">
        <f t="shared" si="0"/>
        <v>77.688105</v>
      </c>
      <c r="M14" s="32">
        <f t="shared" si="0"/>
        <v>73.1366515</v>
      </c>
      <c r="N14" s="32">
        <f t="shared" si="0"/>
        <v>15.238833333333332</v>
      </c>
      <c r="O14" s="32">
        <f t="shared" si="0"/>
        <v>24.632366666666666</v>
      </c>
    </row>
    <row r="15" spans="1:15" ht="15" customHeight="1">
      <c r="A15" s="199" t="s">
        <v>114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1"/>
    </row>
    <row r="16" spans="1:15" ht="14.25">
      <c r="A16" s="26"/>
      <c r="B16" s="27" t="s">
        <v>115</v>
      </c>
      <c r="C16" s="29">
        <v>100</v>
      </c>
      <c r="D16" s="183">
        <v>4.35</v>
      </c>
      <c r="E16" s="183">
        <v>4.8</v>
      </c>
      <c r="F16" s="183">
        <v>6</v>
      </c>
      <c r="G16" s="183">
        <v>88.5</v>
      </c>
      <c r="H16" s="183">
        <v>0.15</v>
      </c>
      <c r="I16" s="183">
        <v>1.05</v>
      </c>
      <c r="J16" s="183">
        <v>0</v>
      </c>
      <c r="K16" s="183">
        <v>0</v>
      </c>
      <c r="L16" s="183">
        <v>180</v>
      </c>
      <c r="M16" s="183">
        <v>142.5</v>
      </c>
      <c r="N16" s="183">
        <v>21</v>
      </c>
      <c r="O16" s="183">
        <v>0.15</v>
      </c>
    </row>
    <row r="17" spans="1:15" ht="15">
      <c r="A17" s="17"/>
      <c r="B17" s="31" t="s">
        <v>28</v>
      </c>
      <c r="C17" s="17"/>
      <c r="D17" s="147">
        <f>SUM(D16)</f>
        <v>4.35</v>
      </c>
      <c r="E17" s="147">
        <f aca="true" t="shared" si="1" ref="E17:O17">SUM(E16)</f>
        <v>4.8</v>
      </c>
      <c r="F17" s="147">
        <f t="shared" si="1"/>
        <v>6</v>
      </c>
      <c r="G17" s="147">
        <f t="shared" si="1"/>
        <v>88.5</v>
      </c>
      <c r="H17" s="147">
        <f t="shared" si="1"/>
        <v>0.15</v>
      </c>
      <c r="I17" s="147">
        <f t="shared" si="1"/>
        <v>1.05</v>
      </c>
      <c r="J17" s="147">
        <f t="shared" si="1"/>
        <v>0</v>
      </c>
      <c r="K17" s="147">
        <f t="shared" si="1"/>
        <v>0</v>
      </c>
      <c r="L17" s="147">
        <f t="shared" si="1"/>
        <v>180</v>
      </c>
      <c r="M17" s="147">
        <f t="shared" si="1"/>
        <v>142.5</v>
      </c>
      <c r="N17" s="147">
        <f t="shared" si="1"/>
        <v>21</v>
      </c>
      <c r="O17" s="147">
        <f t="shared" si="1"/>
        <v>0.15</v>
      </c>
    </row>
    <row r="18" spans="1:15" ht="15">
      <c r="A18" s="7"/>
      <c r="B18" s="2"/>
      <c r="C18" s="139"/>
      <c r="D18" s="35" t="s">
        <v>23</v>
      </c>
      <c r="E18" s="35"/>
      <c r="F18" s="35"/>
      <c r="G18" s="7"/>
      <c r="H18" s="7"/>
      <c r="I18" s="7"/>
      <c r="J18" s="7"/>
      <c r="K18" s="7"/>
      <c r="L18" s="7"/>
      <c r="M18" s="7"/>
      <c r="N18" s="7"/>
      <c r="O18" s="7"/>
    </row>
    <row r="19" spans="1:15" ht="14.25">
      <c r="A19" s="29">
        <v>70</v>
      </c>
      <c r="B19" s="23" t="s">
        <v>69</v>
      </c>
      <c r="C19" s="137">
        <v>40</v>
      </c>
      <c r="D19" s="125">
        <f>2.4*40/60</f>
        <v>1.6</v>
      </c>
      <c r="E19" s="125">
        <f>0.4*40/60</f>
        <v>0.26666666666666666</v>
      </c>
      <c r="F19" s="125">
        <f>11*40/60</f>
        <v>7.333333333333333</v>
      </c>
      <c r="G19" s="125">
        <f>50*40/60</f>
        <v>33.333333333333336</v>
      </c>
      <c r="H19" s="125">
        <f>46.6*40/60</f>
        <v>31.066666666666666</v>
      </c>
      <c r="I19" s="125">
        <f>0.1*40/60</f>
        <v>0.06666666666666667</v>
      </c>
      <c r="J19" s="127">
        <f>0.04*40/60</f>
        <v>0.02666666666666667</v>
      </c>
      <c r="K19" s="127">
        <v>0.34</v>
      </c>
      <c r="L19" s="127">
        <f>76.66*40/60</f>
        <v>51.10666666666666</v>
      </c>
      <c r="M19" s="127">
        <f>140*40/60</f>
        <v>93.33333333333333</v>
      </c>
      <c r="N19" s="127">
        <f>46.66*40/60</f>
        <v>31.106666666666666</v>
      </c>
      <c r="O19" s="127">
        <f>2*40/60</f>
        <v>1.3333333333333333</v>
      </c>
    </row>
    <row r="20" spans="1:16" ht="14.25">
      <c r="A20" s="26">
        <v>135</v>
      </c>
      <c r="B20" s="27" t="s">
        <v>48</v>
      </c>
      <c r="C20" s="140" t="s">
        <v>107</v>
      </c>
      <c r="D20" s="151">
        <f>3*150/200</f>
        <v>2.25</v>
      </c>
      <c r="E20" s="151">
        <f>4.5*150/200</f>
        <v>3.375</v>
      </c>
      <c r="F20" s="151">
        <f>20.4*150/200</f>
        <v>15.3</v>
      </c>
      <c r="G20" s="151">
        <f>137*150/200</f>
        <v>102.75</v>
      </c>
      <c r="H20" s="152">
        <f>0.09*150/200</f>
        <v>0.0675</v>
      </c>
      <c r="I20" s="152">
        <f>6.83*150/200</f>
        <v>5.1225</v>
      </c>
      <c r="J20" s="152">
        <f>0.01*150/200</f>
        <v>0.0075</v>
      </c>
      <c r="K20" s="152">
        <v>0</v>
      </c>
      <c r="L20" s="152">
        <f>44.4*150/200</f>
        <v>33.3</v>
      </c>
      <c r="M20" s="152">
        <f>87.6*150/200</f>
        <v>65.7</v>
      </c>
      <c r="N20" s="152">
        <f>28.4*150/200</f>
        <v>21.3</v>
      </c>
      <c r="O20" s="152">
        <f>1.55*150/200</f>
        <v>1.1625</v>
      </c>
      <c r="P20" s="6"/>
    </row>
    <row r="21" spans="1:15" ht="14.25">
      <c r="A21" s="109" t="s">
        <v>47</v>
      </c>
      <c r="B21" s="37" t="s">
        <v>70</v>
      </c>
      <c r="C21" s="134">
        <v>60</v>
      </c>
      <c r="D21" s="153">
        <f>12.36*60/80</f>
        <v>9.27</v>
      </c>
      <c r="E21" s="153">
        <f>10.53*60/80</f>
        <v>7.897499999999999</v>
      </c>
      <c r="F21" s="153">
        <f>13.02*60/80</f>
        <v>9.764999999999999</v>
      </c>
      <c r="G21" s="153">
        <f>256.4*60/80</f>
        <v>192.29999999999998</v>
      </c>
      <c r="H21" s="154">
        <f>0.06*60/80</f>
        <v>0.045</v>
      </c>
      <c r="I21" s="154">
        <f>0.41*60/80</f>
        <v>0.3075</v>
      </c>
      <c r="J21" s="154">
        <f>65.12*60/80</f>
        <v>48.84</v>
      </c>
      <c r="K21" s="154">
        <f>0.71*60/80</f>
        <v>0.5325</v>
      </c>
      <c r="L21" s="154">
        <f>63.56*60/80</f>
        <v>47.67</v>
      </c>
      <c r="M21" s="154">
        <f>62.82*60/80</f>
        <v>47.114999999999995</v>
      </c>
      <c r="N21" s="154">
        <f>12.93*60/80</f>
        <v>9.6975</v>
      </c>
      <c r="O21" s="154">
        <f>23.18*60/80</f>
        <v>17.384999999999998</v>
      </c>
    </row>
    <row r="22" spans="1:15" ht="14.25">
      <c r="A22" s="39">
        <v>520</v>
      </c>
      <c r="B22" s="37" t="s">
        <v>64</v>
      </c>
      <c r="C22" s="123" t="s">
        <v>108</v>
      </c>
      <c r="D22" s="155">
        <f>3.2*150/120</f>
        <v>4</v>
      </c>
      <c r="E22" s="155">
        <f>6.8*150/120</f>
        <v>8.5</v>
      </c>
      <c r="F22" s="155">
        <f>22*150/120</f>
        <v>27.5</v>
      </c>
      <c r="G22" s="155">
        <f>163*150/120</f>
        <v>203.75</v>
      </c>
      <c r="H22" s="156">
        <f>0.2*150/120</f>
        <v>0.25</v>
      </c>
      <c r="I22" s="156">
        <f>6.7*150/120</f>
        <v>8.375</v>
      </c>
      <c r="J22" s="156">
        <f>0.01*150/120</f>
        <v>0.0125</v>
      </c>
      <c r="K22" s="156">
        <f>0.2*150/120</f>
        <v>0.25</v>
      </c>
      <c r="L22" s="156">
        <f>48*150/120</f>
        <v>60</v>
      </c>
      <c r="M22" s="156">
        <f>100.8*150/120</f>
        <v>126</v>
      </c>
      <c r="N22" s="156">
        <f>36*150/120</f>
        <v>45</v>
      </c>
      <c r="O22" s="156">
        <f>1.2*150/120</f>
        <v>1.5</v>
      </c>
    </row>
    <row r="23" spans="1:15" ht="14.25">
      <c r="A23" s="119"/>
      <c r="B23" s="28" t="s">
        <v>71</v>
      </c>
      <c r="C23" s="29">
        <v>150</v>
      </c>
      <c r="D23" s="157">
        <f>0.18*150/180</f>
        <v>0.15</v>
      </c>
      <c r="E23" s="157">
        <f>0.18*150/180</f>
        <v>0.15</v>
      </c>
      <c r="F23" s="157">
        <f>28.362*150/180</f>
        <v>23.635</v>
      </c>
      <c r="G23" s="157">
        <f>116.91*150/180</f>
        <v>97.425</v>
      </c>
      <c r="H23" s="157">
        <f>0.002*150/180</f>
        <v>0.0016666666666666666</v>
      </c>
      <c r="I23" s="157">
        <f>0.058*150/180</f>
        <v>0.04833333333333334</v>
      </c>
      <c r="J23" s="157">
        <f>1.358*150/180</f>
        <v>1.1316666666666668</v>
      </c>
      <c r="K23" s="157">
        <f>0.058*150/180</f>
        <v>0.04833333333333334</v>
      </c>
      <c r="L23" s="157">
        <f>7.584*150/180</f>
        <v>6.319999999999999</v>
      </c>
      <c r="M23" s="157">
        <f>4.462*150/180</f>
        <v>3.7183333333333333</v>
      </c>
      <c r="N23" s="157">
        <f>1.746*150/180</f>
        <v>1.4549999999999998</v>
      </c>
      <c r="O23" s="157">
        <f>0.157*150/180</f>
        <v>0.13083333333333333</v>
      </c>
    </row>
    <row r="24" spans="1:15" ht="14.25">
      <c r="A24" s="29"/>
      <c r="B24" s="28" t="s">
        <v>21</v>
      </c>
      <c r="C24" s="30" t="s">
        <v>22</v>
      </c>
      <c r="D24" s="155">
        <v>2.7</v>
      </c>
      <c r="E24" s="155">
        <v>0.7</v>
      </c>
      <c r="F24" s="155">
        <v>16.3</v>
      </c>
      <c r="G24" s="155">
        <v>87</v>
      </c>
      <c r="H24" s="156">
        <v>0.06</v>
      </c>
      <c r="I24" s="156">
        <v>0</v>
      </c>
      <c r="J24" s="156">
        <v>0</v>
      </c>
      <c r="K24" s="156">
        <v>0.6</v>
      </c>
      <c r="L24" s="156">
        <v>10</v>
      </c>
      <c r="M24" s="156">
        <v>32</v>
      </c>
      <c r="N24" s="156">
        <v>7.1</v>
      </c>
      <c r="O24" s="156">
        <v>0.6</v>
      </c>
    </row>
    <row r="25" spans="1:15" ht="15">
      <c r="A25" s="17"/>
      <c r="B25" s="31" t="s">
        <v>28</v>
      </c>
      <c r="C25" s="17"/>
      <c r="D25" s="32">
        <f aca="true" t="shared" si="2" ref="D25:O25">SUM(D19:D24)</f>
        <v>19.969999999999995</v>
      </c>
      <c r="E25" s="32">
        <f t="shared" si="2"/>
        <v>20.889166666666664</v>
      </c>
      <c r="F25" s="32">
        <f t="shared" si="2"/>
        <v>99.83333333333333</v>
      </c>
      <c r="G25" s="32">
        <f t="shared" si="2"/>
        <v>716.5583333333333</v>
      </c>
      <c r="H25" s="32">
        <f t="shared" si="2"/>
        <v>31.49083333333333</v>
      </c>
      <c r="I25" s="32">
        <f t="shared" si="2"/>
        <v>13.92</v>
      </c>
      <c r="J25" s="32">
        <f t="shared" si="2"/>
        <v>50.01833333333334</v>
      </c>
      <c r="K25" s="32">
        <f t="shared" si="2"/>
        <v>1.7708333333333335</v>
      </c>
      <c r="L25" s="32">
        <f t="shared" si="2"/>
        <v>208.39666666666665</v>
      </c>
      <c r="M25" s="32">
        <f t="shared" si="2"/>
        <v>367.8666666666666</v>
      </c>
      <c r="N25" s="32">
        <f t="shared" si="2"/>
        <v>115.65916666666665</v>
      </c>
      <c r="O25" s="32">
        <f t="shared" si="2"/>
        <v>22.111666666666665</v>
      </c>
    </row>
    <row r="26" spans="1:15" ht="15" customHeight="1">
      <c r="A26" s="205" t="s">
        <v>82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1"/>
    </row>
    <row r="27" spans="1:15" ht="14.25">
      <c r="A27" s="17">
        <v>686</v>
      </c>
      <c r="B27" s="31" t="s">
        <v>59</v>
      </c>
      <c r="C27" s="17">
        <v>150</v>
      </c>
      <c r="D27" s="144">
        <f>0.2*150/180</f>
        <v>0.16666666666666666</v>
      </c>
      <c r="E27" s="144">
        <v>0</v>
      </c>
      <c r="F27" s="144">
        <f>15*150/180</f>
        <v>12.5</v>
      </c>
      <c r="G27" s="144">
        <f>58*150/180</f>
        <v>48.333333333333336</v>
      </c>
      <c r="H27" s="145">
        <v>0</v>
      </c>
      <c r="I27" s="145">
        <f>2.2*150/180</f>
        <v>1.8333333333333333</v>
      </c>
      <c r="J27" s="145">
        <v>0</v>
      </c>
      <c r="K27" s="145">
        <v>0</v>
      </c>
      <c r="L27" s="145">
        <f>87*150/180</f>
        <v>72.5</v>
      </c>
      <c r="M27" s="145">
        <f>68*150/180</f>
        <v>56.666666666666664</v>
      </c>
      <c r="N27" s="145">
        <f>14*150/180</f>
        <v>11.666666666666666</v>
      </c>
      <c r="O27" s="145">
        <f>0.8*150/180</f>
        <v>0.6666666666666666</v>
      </c>
    </row>
    <row r="28" spans="1:15" ht="14.25">
      <c r="A28" s="29"/>
      <c r="B28" s="28" t="s">
        <v>50</v>
      </c>
      <c r="C28" s="29">
        <v>30</v>
      </c>
      <c r="D28" s="149">
        <f>4.8*30/40</f>
        <v>3.6</v>
      </c>
      <c r="E28" s="149">
        <f>19.9*30/40</f>
        <v>14.925</v>
      </c>
      <c r="F28" s="149">
        <f>22.1*30/40</f>
        <v>16.575</v>
      </c>
      <c r="G28" s="149">
        <f>149.8*30/40</f>
        <v>112.35</v>
      </c>
      <c r="H28" s="149">
        <v>0</v>
      </c>
      <c r="I28" s="149">
        <f>1.9*30/40</f>
        <v>1.425</v>
      </c>
      <c r="J28" s="150">
        <v>0</v>
      </c>
      <c r="K28" s="150">
        <v>0</v>
      </c>
      <c r="L28" s="150">
        <f>17*30/40</f>
        <v>12.75</v>
      </c>
      <c r="M28" s="150">
        <f>9*30/40</f>
        <v>6.75</v>
      </c>
      <c r="N28" s="150">
        <f>7*30/40</f>
        <v>5.25</v>
      </c>
      <c r="O28" s="150">
        <f>0.09*30/40</f>
        <v>0.06749999999999999</v>
      </c>
    </row>
    <row r="29" spans="1:15" ht="14.25">
      <c r="A29" s="17"/>
      <c r="B29" s="31" t="s">
        <v>81</v>
      </c>
      <c r="C29" s="17">
        <v>100</v>
      </c>
      <c r="D29" s="149">
        <f>0.8*100/150</f>
        <v>0.5333333333333333</v>
      </c>
      <c r="E29" s="149">
        <f>0.8*100/150</f>
        <v>0.5333333333333333</v>
      </c>
      <c r="F29" s="149">
        <f>19.6*100/150</f>
        <v>13.066666666666668</v>
      </c>
      <c r="G29" s="149">
        <f>88*100/150</f>
        <v>58.666666666666664</v>
      </c>
      <c r="H29" s="149">
        <f>0.06*100/150</f>
        <v>0.04</v>
      </c>
      <c r="I29" s="149">
        <f>20*100/150</f>
        <v>13.333333333333334</v>
      </c>
      <c r="J29" s="150">
        <v>0</v>
      </c>
      <c r="K29" s="150">
        <v>0</v>
      </c>
      <c r="L29" s="150">
        <f>32*100/150</f>
        <v>21.333333333333332</v>
      </c>
      <c r="M29" s="150">
        <v>22</v>
      </c>
      <c r="N29" s="150">
        <f>18*100/150</f>
        <v>12</v>
      </c>
      <c r="O29" s="150">
        <f>4.4*100/150</f>
        <v>2.9333333333333336</v>
      </c>
    </row>
    <row r="30" spans="1:15" ht="15">
      <c r="A30" s="17"/>
      <c r="B30" s="31" t="s">
        <v>28</v>
      </c>
      <c r="C30" s="17"/>
      <c r="D30" s="148">
        <f>SUM(D27:D29)</f>
        <v>4.3</v>
      </c>
      <c r="E30" s="148">
        <f aca="true" t="shared" si="3" ref="E30:O30">SUM(E27:E29)</f>
        <v>15.458333333333334</v>
      </c>
      <c r="F30" s="148">
        <f t="shared" si="3"/>
        <v>42.141666666666666</v>
      </c>
      <c r="G30" s="148">
        <f t="shared" si="3"/>
        <v>219.35</v>
      </c>
      <c r="H30" s="148">
        <f t="shared" si="3"/>
        <v>0.04</v>
      </c>
      <c r="I30" s="148">
        <f t="shared" si="3"/>
        <v>16.59166666666667</v>
      </c>
      <c r="J30" s="148">
        <f t="shared" si="3"/>
        <v>0</v>
      </c>
      <c r="K30" s="148">
        <f t="shared" si="3"/>
        <v>0</v>
      </c>
      <c r="L30" s="148">
        <f t="shared" si="3"/>
        <v>106.58333333333333</v>
      </c>
      <c r="M30" s="148">
        <f t="shared" si="3"/>
        <v>85.41666666666666</v>
      </c>
      <c r="N30" s="148">
        <f t="shared" si="3"/>
        <v>28.916666666666664</v>
      </c>
      <c r="O30" s="148">
        <f t="shared" si="3"/>
        <v>3.6675000000000004</v>
      </c>
    </row>
    <row r="31" spans="1:15" ht="15">
      <c r="A31" s="17"/>
      <c r="B31" s="22" t="s">
        <v>29</v>
      </c>
      <c r="C31" s="17"/>
      <c r="D31" s="148">
        <f>D14+D25+D30+D17</f>
        <v>35.52488333333333</v>
      </c>
      <c r="E31" s="148">
        <f aca="true" t="shared" si="4" ref="E31:O31">E14+E25+E30+E17</f>
        <v>47.36756666666666</v>
      </c>
      <c r="F31" s="148">
        <f t="shared" si="4"/>
        <v>189.95401666666663</v>
      </c>
      <c r="G31" s="148">
        <f t="shared" si="4"/>
        <v>1263.7965</v>
      </c>
      <c r="H31" s="148">
        <f t="shared" si="4"/>
        <v>31.714166666666664</v>
      </c>
      <c r="I31" s="148">
        <f t="shared" si="4"/>
        <v>34.891</v>
      </c>
      <c r="J31" s="148">
        <f t="shared" si="4"/>
        <v>50.34957833333334</v>
      </c>
      <c r="K31" s="148">
        <f t="shared" si="4"/>
        <v>2.1645033333333332</v>
      </c>
      <c r="L31" s="148">
        <f t="shared" si="4"/>
        <v>572.668105</v>
      </c>
      <c r="M31" s="148">
        <f t="shared" si="4"/>
        <v>668.9199848333333</v>
      </c>
      <c r="N31" s="148">
        <f t="shared" si="4"/>
        <v>180.81466666666662</v>
      </c>
      <c r="O31" s="148">
        <f t="shared" si="4"/>
        <v>50.56153333333334</v>
      </c>
    </row>
    <row r="32" spans="1:15" ht="15">
      <c r="A32" s="41"/>
      <c r="B32" s="2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5">
      <c r="A33" s="7"/>
      <c r="B33" s="2"/>
      <c r="C33" s="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49.25" customHeight="1">
      <c r="A34" s="7"/>
      <c r="B34" s="2"/>
      <c r="C34" s="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32.25" customHeight="1">
      <c r="A35" s="7"/>
      <c r="B35" s="2"/>
      <c r="C35" s="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5" customHeight="1">
      <c r="A36" s="7"/>
      <c r="B36" s="2"/>
      <c r="C36" s="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32.25" customHeight="1">
      <c r="A37" s="207" t="s">
        <v>113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5">
      <c r="A38" s="7"/>
      <c r="B38" s="2"/>
      <c r="C38" s="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ht="14.25">
      <c r="A39" s="116" t="s">
        <v>0</v>
      </c>
      <c r="B39" s="36" t="s">
        <v>1</v>
      </c>
      <c r="C39" s="44" t="s">
        <v>2</v>
      </c>
      <c r="D39" s="208" t="s">
        <v>3</v>
      </c>
      <c r="E39" s="209"/>
      <c r="F39" s="210"/>
      <c r="G39" s="44" t="s">
        <v>4</v>
      </c>
      <c r="H39" s="208" t="s">
        <v>5</v>
      </c>
      <c r="I39" s="209"/>
      <c r="J39" s="209"/>
      <c r="K39" s="210"/>
      <c r="L39" s="208" t="s">
        <v>6</v>
      </c>
      <c r="M39" s="209"/>
      <c r="N39" s="209"/>
      <c r="O39" s="210"/>
    </row>
    <row r="40" spans="1:15" ht="18.75">
      <c r="A40" s="48" t="s">
        <v>7</v>
      </c>
      <c r="B40" s="49"/>
      <c r="C40" s="13"/>
      <c r="D40" s="13" t="s">
        <v>8</v>
      </c>
      <c r="E40" s="13" t="s">
        <v>9</v>
      </c>
      <c r="F40" s="13" t="s">
        <v>10</v>
      </c>
      <c r="G40" s="13" t="s">
        <v>11</v>
      </c>
      <c r="H40" s="15" t="s">
        <v>68</v>
      </c>
      <c r="I40" s="15" t="s">
        <v>12</v>
      </c>
      <c r="J40" s="15" t="s">
        <v>13</v>
      </c>
      <c r="K40" s="15" t="s">
        <v>14</v>
      </c>
      <c r="L40" s="16" t="s">
        <v>15</v>
      </c>
      <c r="M40" s="16" t="s">
        <v>16</v>
      </c>
      <c r="N40" s="16" t="s">
        <v>17</v>
      </c>
      <c r="O40" s="16" t="s">
        <v>18</v>
      </c>
    </row>
    <row r="41" spans="1:15" ht="14.25">
      <c r="A41" s="15">
        <v>1</v>
      </c>
      <c r="B41" s="48">
        <v>2</v>
      </c>
      <c r="C41" s="12">
        <v>3</v>
      </c>
      <c r="D41" s="11">
        <v>4</v>
      </c>
      <c r="E41" s="11">
        <v>5</v>
      </c>
      <c r="F41" s="11">
        <v>6</v>
      </c>
      <c r="G41" s="11">
        <v>7</v>
      </c>
      <c r="H41" s="15">
        <v>8</v>
      </c>
      <c r="I41" s="15">
        <v>9</v>
      </c>
      <c r="J41" s="15">
        <v>10</v>
      </c>
      <c r="K41" s="15">
        <v>11</v>
      </c>
      <c r="L41" s="16">
        <v>12</v>
      </c>
      <c r="M41" s="16">
        <v>13</v>
      </c>
      <c r="N41" s="16">
        <v>14</v>
      </c>
      <c r="O41" s="16">
        <v>15</v>
      </c>
    </row>
    <row r="42" spans="1:15" ht="15">
      <c r="A42" s="20"/>
      <c r="B42" s="21" t="s">
        <v>40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27.75" customHeight="1">
      <c r="A43" s="136" t="s">
        <v>19</v>
      </c>
      <c r="B43" s="136"/>
      <c r="C43" s="20"/>
      <c r="D43" s="211" t="s">
        <v>26</v>
      </c>
      <c r="E43" s="211"/>
      <c r="F43" s="19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30" customHeight="1">
      <c r="A44" s="217" t="s">
        <v>62</v>
      </c>
      <c r="B44" s="21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121" customFormat="1" ht="14.25">
      <c r="A45" s="120" t="s">
        <v>106</v>
      </c>
      <c r="B45" s="128" t="s">
        <v>83</v>
      </c>
      <c r="C45" s="38">
        <v>170</v>
      </c>
      <c r="D45" s="146">
        <f>7.7*170/200</f>
        <v>6.545</v>
      </c>
      <c r="E45" s="146">
        <f>10.7*170/200</f>
        <v>9.094999999999999</v>
      </c>
      <c r="F45" s="146">
        <f>40.5*170/200</f>
        <v>34.425</v>
      </c>
      <c r="G45" s="146">
        <f>290*170/200</f>
        <v>246.5</v>
      </c>
      <c r="H45" s="146">
        <f>153.72*170/200</f>
        <v>130.662</v>
      </c>
      <c r="I45" s="146">
        <f>0.27*170/200</f>
        <v>0.22950000000000004</v>
      </c>
      <c r="J45" s="146">
        <f>77.83*170/200</f>
        <v>66.1555</v>
      </c>
      <c r="K45" s="146">
        <f>0.35*170/200</f>
        <v>0.2975</v>
      </c>
      <c r="L45" s="146">
        <f>153.72*170/200</f>
        <v>130.662</v>
      </c>
      <c r="M45" s="146">
        <f>177.4*170/200</f>
        <v>150.79</v>
      </c>
      <c r="N45" s="146">
        <f>43.97*170/200</f>
        <v>37.3745</v>
      </c>
      <c r="O45" s="146">
        <f>0.98*170/200</f>
        <v>0.833</v>
      </c>
    </row>
    <row r="46" spans="1:15" ht="14.25">
      <c r="A46" s="50">
        <v>686</v>
      </c>
      <c r="B46" s="51" t="s">
        <v>59</v>
      </c>
      <c r="C46" s="103">
        <v>150</v>
      </c>
      <c r="D46" s="141">
        <f>0.2*150/180</f>
        <v>0.16666666666666666</v>
      </c>
      <c r="E46" s="141">
        <v>0</v>
      </c>
      <c r="F46" s="141">
        <f>15*150/180</f>
        <v>12.5</v>
      </c>
      <c r="G46" s="141">
        <f>58*150/180</f>
        <v>48.333333333333336</v>
      </c>
      <c r="H46" s="110">
        <v>0</v>
      </c>
      <c r="I46" s="110">
        <f>2.2*150/180</f>
        <v>1.8333333333333333</v>
      </c>
      <c r="J46" s="110">
        <v>0</v>
      </c>
      <c r="K46" s="110">
        <v>0</v>
      </c>
      <c r="L46" s="110">
        <f>87*150/180</f>
        <v>72.5</v>
      </c>
      <c r="M46" s="110">
        <f>68*150/180</f>
        <v>56.666666666666664</v>
      </c>
      <c r="N46" s="110">
        <f>14*150/180</f>
        <v>11.666666666666666</v>
      </c>
      <c r="O46" s="110">
        <f>0.8*150/180</f>
        <v>0.6666666666666666</v>
      </c>
    </row>
    <row r="47" spans="1:15" ht="14.25">
      <c r="A47" s="29"/>
      <c r="B47" s="129" t="s">
        <v>21</v>
      </c>
      <c r="C47" s="29">
        <v>20</v>
      </c>
      <c r="D47" s="141">
        <f>2.02*20/30</f>
        <v>1.3466666666666667</v>
      </c>
      <c r="E47" s="141">
        <f>0.4*20/30</f>
        <v>0.26666666666666666</v>
      </c>
      <c r="F47" s="141">
        <f>12.1*20/30</f>
        <v>8.066666666666666</v>
      </c>
      <c r="G47" s="141">
        <f>65*20/30</f>
        <v>43.333333333333336</v>
      </c>
      <c r="H47" s="110">
        <f>0.05*20/30</f>
        <v>0.03333333333333333</v>
      </c>
      <c r="I47" s="110">
        <v>0</v>
      </c>
      <c r="J47" s="110">
        <v>0</v>
      </c>
      <c r="K47" s="110">
        <f>0.45*20/30</f>
        <v>0.3</v>
      </c>
      <c r="L47" s="110">
        <f>7.5*20/30</f>
        <v>5</v>
      </c>
      <c r="M47" s="110">
        <f>24.68*20/30</f>
        <v>16.453333333333333</v>
      </c>
      <c r="N47" s="110">
        <f>5.32*20/30</f>
        <v>3.546666666666667</v>
      </c>
      <c r="O47" s="110">
        <f>0.45*20/30</f>
        <v>0.3</v>
      </c>
    </row>
    <row r="48" spans="1:15" ht="15">
      <c r="A48" s="17"/>
      <c r="B48" s="31" t="s">
        <v>28</v>
      </c>
      <c r="C48" s="17"/>
      <c r="D48" s="147">
        <f aca="true" t="shared" si="5" ref="D48:O48">SUM(D45:D47)</f>
        <v>8.058333333333334</v>
      </c>
      <c r="E48" s="147">
        <f t="shared" si="5"/>
        <v>9.361666666666666</v>
      </c>
      <c r="F48" s="147">
        <f t="shared" si="5"/>
        <v>54.99166666666666</v>
      </c>
      <c r="G48" s="147">
        <f t="shared" si="5"/>
        <v>338.16666666666663</v>
      </c>
      <c r="H48" s="147">
        <f t="shared" si="5"/>
        <v>130.69533333333334</v>
      </c>
      <c r="I48" s="147">
        <f t="shared" si="5"/>
        <v>2.0628333333333333</v>
      </c>
      <c r="J48" s="147">
        <f t="shared" si="5"/>
        <v>66.1555</v>
      </c>
      <c r="K48" s="147">
        <f t="shared" si="5"/>
        <v>0.5974999999999999</v>
      </c>
      <c r="L48" s="147">
        <f t="shared" si="5"/>
        <v>208.162</v>
      </c>
      <c r="M48" s="147">
        <f t="shared" si="5"/>
        <v>223.90999999999997</v>
      </c>
      <c r="N48" s="147">
        <f t="shared" si="5"/>
        <v>52.58783333333333</v>
      </c>
      <c r="O48" s="147">
        <f t="shared" si="5"/>
        <v>1.7996666666666667</v>
      </c>
    </row>
    <row r="49" spans="1:15" ht="14.25" customHeight="1">
      <c r="A49" s="199" t="s">
        <v>114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1"/>
    </row>
    <row r="50" spans="1:15" ht="14.25">
      <c r="A50" s="26"/>
      <c r="B50" s="27" t="s">
        <v>116</v>
      </c>
      <c r="C50" s="29">
        <v>180</v>
      </c>
      <c r="D50" s="183">
        <f>0.95*180/200</f>
        <v>0.855</v>
      </c>
      <c r="E50" s="183">
        <v>0</v>
      </c>
      <c r="F50" s="183">
        <f>17.29*180/200</f>
        <v>15.561</v>
      </c>
      <c r="G50" s="183">
        <f>72.96*180/200</f>
        <v>65.664</v>
      </c>
      <c r="H50" s="183">
        <f>0.019*180/200</f>
        <v>0.0171</v>
      </c>
      <c r="I50" s="183">
        <f>3.8*180/200</f>
        <v>3.42</v>
      </c>
      <c r="J50" s="183">
        <f>0.16*180/200</f>
        <v>0.14400000000000002</v>
      </c>
      <c r="K50" s="183">
        <v>0</v>
      </c>
      <c r="L50" s="183">
        <f>13.3*180/200</f>
        <v>11.97</v>
      </c>
      <c r="M50" s="183">
        <v>0</v>
      </c>
      <c r="N50" s="183">
        <f>2.66*180/200</f>
        <v>2.394</v>
      </c>
      <c r="O50" s="183">
        <v>0</v>
      </c>
    </row>
    <row r="51" spans="1:15" ht="15">
      <c r="A51" s="17"/>
      <c r="B51" s="31" t="s">
        <v>28</v>
      </c>
      <c r="C51" s="17"/>
      <c r="D51" s="147">
        <f>SUM(D50)</f>
        <v>0.855</v>
      </c>
      <c r="E51" s="147">
        <f aca="true" t="shared" si="6" ref="E51:O51">SUM(E50)</f>
        <v>0</v>
      </c>
      <c r="F51" s="147">
        <f t="shared" si="6"/>
        <v>15.561</v>
      </c>
      <c r="G51" s="147">
        <f t="shared" si="6"/>
        <v>65.664</v>
      </c>
      <c r="H51" s="147">
        <f t="shared" si="6"/>
        <v>0.0171</v>
      </c>
      <c r="I51" s="147">
        <f t="shared" si="6"/>
        <v>3.42</v>
      </c>
      <c r="J51" s="147">
        <f t="shared" si="6"/>
        <v>0.14400000000000002</v>
      </c>
      <c r="K51" s="147">
        <f t="shared" si="6"/>
        <v>0</v>
      </c>
      <c r="L51" s="147">
        <f t="shared" si="6"/>
        <v>11.97</v>
      </c>
      <c r="M51" s="147">
        <f t="shared" si="6"/>
        <v>0</v>
      </c>
      <c r="N51" s="147">
        <f t="shared" si="6"/>
        <v>2.394</v>
      </c>
      <c r="O51" s="147">
        <f t="shared" si="6"/>
        <v>0</v>
      </c>
    </row>
    <row r="52" spans="1:15" ht="15">
      <c r="A52" s="7"/>
      <c r="B52" s="2"/>
      <c r="C52" s="7"/>
      <c r="D52" s="35" t="s">
        <v>23</v>
      </c>
      <c r="E52" s="35"/>
      <c r="F52" s="35"/>
      <c r="G52" s="7"/>
      <c r="H52" s="7"/>
      <c r="I52" s="7"/>
      <c r="J52" s="7"/>
      <c r="K52" s="7"/>
      <c r="L52" s="7"/>
      <c r="M52" s="7"/>
      <c r="N52" s="7"/>
      <c r="O52" s="7"/>
    </row>
    <row r="53" spans="1:15" ht="14.25">
      <c r="A53" s="29">
        <v>70</v>
      </c>
      <c r="B53" s="23" t="s">
        <v>72</v>
      </c>
      <c r="C53" s="52">
        <v>40</v>
      </c>
      <c r="D53" s="125">
        <f>2.4*40/60</f>
        <v>1.6</v>
      </c>
      <c r="E53" s="125">
        <f>0.4*40/60</f>
        <v>0.26666666666666666</v>
      </c>
      <c r="F53" s="125">
        <f>11*40/60</f>
        <v>7.333333333333333</v>
      </c>
      <c r="G53" s="125">
        <f>50*40/60</f>
        <v>33.333333333333336</v>
      </c>
      <c r="H53" s="125">
        <f>46.6*40/60</f>
        <v>31.066666666666666</v>
      </c>
      <c r="I53" s="125">
        <f>0.1*40/60</f>
        <v>0.06666666666666667</v>
      </c>
      <c r="J53" s="127">
        <f>0.04*40/60</f>
        <v>0.02666666666666667</v>
      </c>
      <c r="K53" s="127">
        <v>0.34</v>
      </c>
      <c r="L53" s="127">
        <f>76.66*40/60</f>
        <v>51.10666666666666</v>
      </c>
      <c r="M53" s="127">
        <f>140*40/60</f>
        <v>93.33333333333333</v>
      </c>
      <c r="N53" s="127">
        <f>46.66*40/60</f>
        <v>31.106666666666666</v>
      </c>
      <c r="O53" s="127">
        <f>2*40/60</f>
        <v>1.3333333333333333</v>
      </c>
    </row>
    <row r="54" spans="1:15" ht="14.25">
      <c r="A54" s="26">
        <v>124</v>
      </c>
      <c r="B54" s="53" t="s">
        <v>51</v>
      </c>
      <c r="C54" s="54" t="s">
        <v>107</v>
      </c>
      <c r="D54" s="158">
        <f>2.7*150/200</f>
        <v>2.025</v>
      </c>
      <c r="E54" s="158">
        <f>7.8*150/200</f>
        <v>5.85</v>
      </c>
      <c r="F54" s="158">
        <f>12.5*150/200</f>
        <v>9.375</v>
      </c>
      <c r="G54" s="158">
        <f>125*150/200</f>
        <v>93.75</v>
      </c>
      <c r="H54" s="159">
        <f>0.07*150/200</f>
        <v>0.05250000000000001</v>
      </c>
      <c r="I54" s="159">
        <f>14.41*150/200</f>
        <v>10.8075</v>
      </c>
      <c r="J54" s="159">
        <f>0.01*150/200</f>
        <v>0.0075</v>
      </c>
      <c r="K54" s="159">
        <v>0</v>
      </c>
      <c r="L54" s="159">
        <f>9.8*150/200</f>
        <v>7.35</v>
      </c>
      <c r="M54" s="159">
        <f>53*150/200</f>
        <v>39.75</v>
      </c>
      <c r="N54" s="159">
        <f>19.9*150/200</f>
        <v>14.925</v>
      </c>
      <c r="O54" s="160">
        <f>0.93*150/200</f>
        <v>0.6975</v>
      </c>
    </row>
    <row r="55" spans="1:15" ht="14.25">
      <c r="A55" s="123">
        <v>431</v>
      </c>
      <c r="B55" s="124" t="s">
        <v>79</v>
      </c>
      <c r="C55" s="29" t="s">
        <v>109</v>
      </c>
      <c r="D55" s="155">
        <f>21.7*90/130</f>
        <v>15.023076923076923</v>
      </c>
      <c r="E55" s="155">
        <f>13.4*90/130</f>
        <v>9.276923076923078</v>
      </c>
      <c r="F55" s="155">
        <f>7.8*90/130</f>
        <v>5.4</v>
      </c>
      <c r="G55" s="155">
        <f>278.83*90/130</f>
        <v>193.03615384615384</v>
      </c>
      <c r="H55" s="156">
        <f>31.37*90/130</f>
        <v>21.71769230769231</v>
      </c>
      <c r="I55" s="156">
        <f>16.61*90/130</f>
        <v>11.499230769230769</v>
      </c>
      <c r="J55" s="156">
        <f>185.24*90/130</f>
        <v>128.24307692307693</v>
      </c>
      <c r="K55" s="156">
        <f>3.8*90/130</f>
        <v>2.6307692307692307</v>
      </c>
      <c r="L55" s="156">
        <f>55.44*90/130</f>
        <v>38.381538461538454</v>
      </c>
      <c r="M55" s="156">
        <f>3.04*90/130</f>
        <v>2.1046153846153848</v>
      </c>
      <c r="N55" s="156">
        <f>10.13*90/130</f>
        <v>7.013076923076923</v>
      </c>
      <c r="O55" s="156">
        <f>5.9*90/130</f>
        <v>4.084615384615384</v>
      </c>
    </row>
    <row r="56" spans="1:15" ht="14.25">
      <c r="A56" s="29">
        <v>516</v>
      </c>
      <c r="B56" s="28" t="s">
        <v>73</v>
      </c>
      <c r="C56" s="104" t="s">
        <v>108</v>
      </c>
      <c r="D56" s="155">
        <f>5.79*120/150</f>
        <v>4.632</v>
      </c>
      <c r="E56" s="155">
        <f>3.03*120/150</f>
        <v>2.424</v>
      </c>
      <c r="F56" s="155">
        <f>37.05*120/150</f>
        <v>29.64</v>
      </c>
      <c r="G56" s="155">
        <f>198.6*120/150</f>
        <v>158.88</v>
      </c>
      <c r="H56" s="156">
        <f>0.53*120/150</f>
        <v>0.424</v>
      </c>
      <c r="I56" s="156">
        <v>0</v>
      </c>
      <c r="J56" s="156">
        <f>45*120/150</f>
        <v>36</v>
      </c>
      <c r="K56" s="156">
        <f>0.9*120/150</f>
        <v>0.72</v>
      </c>
      <c r="L56" s="156">
        <f>29.1*120/150</f>
        <v>23.28</v>
      </c>
      <c r="M56" s="156">
        <f>166.5*120/150</f>
        <v>133.2</v>
      </c>
      <c r="N56" s="156">
        <f>30.2*120/150</f>
        <v>24.16</v>
      </c>
      <c r="O56" s="156">
        <f>1.5*120/150</f>
        <v>1.2</v>
      </c>
    </row>
    <row r="57" spans="1:15" ht="14.25">
      <c r="A57" s="29">
        <v>639</v>
      </c>
      <c r="B57" s="28" t="s">
        <v>36</v>
      </c>
      <c r="C57" s="29">
        <v>150</v>
      </c>
      <c r="D57" s="157">
        <f>0.097*150/180</f>
        <v>0.08083333333333334</v>
      </c>
      <c r="E57" s="157">
        <f>0.039*150/180</f>
        <v>0.0325</v>
      </c>
      <c r="F57" s="157">
        <f>21.512*150/180</f>
        <v>17.92666666666667</v>
      </c>
      <c r="G57" s="157">
        <f>86.785*150/180</f>
        <v>72.32083333333334</v>
      </c>
      <c r="H57" s="157">
        <f>0.002*150/180</f>
        <v>0.0016666666666666666</v>
      </c>
      <c r="I57" s="157">
        <f>0.058*150/180</f>
        <v>0.04833333333333334</v>
      </c>
      <c r="J57" s="157">
        <f>1.358*150/180</f>
        <v>1.1316666666666668</v>
      </c>
      <c r="K57" s="157">
        <f>0.058*150/180</f>
        <v>0.04833333333333334</v>
      </c>
      <c r="L57" s="157">
        <f>7.584*150/180</f>
        <v>6.319999999999999</v>
      </c>
      <c r="M57" s="157">
        <f>4.462*150/180</f>
        <v>3.7183333333333333</v>
      </c>
      <c r="N57" s="157">
        <f>1.746*150/180</f>
        <v>1.4549999999999998</v>
      </c>
      <c r="O57" s="157">
        <f>0.157*150/180</f>
        <v>0.13083333333333333</v>
      </c>
    </row>
    <row r="58" spans="1:36" ht="14.25">
      <c r="A58" s="29"/>
      <c r="B58" s="28" t="s">
        <v>21</v>
      </c>
      <c r="C58" s="30" t="s">
        <v>22</v>
      </c>
      <c r="D58" s="155">
        <v>2.02</v>
      </c>
      <c r="E58" s="155">
        <v>0.4</v>
      </c>
      <c r="F58" s="155">
        <v>12.1</v>
      </c>
      <c r="G58" s="155">
        <v>65</v>
      </c>
      <c r="H58" s="156">
        <v>0.05</v>
      </c>
      <c r="I58" s="156">
        <v>0</v>
      </c>
      <c r="J58" s="156">
        <v>0</v>
      </c>
      <c r="K58" s="156">
        <v>0.45</v>
      </c>
      <c r="L58" s="156">
        <v>7.5</v>
      </c>
      <c r="M58" s="156">
        <v>24.68</v>
      </c>
      <c r="N58" s="156">
        <v>5.32</v>
      </c>
      <c r="O58" s="156">
        <v>0.45</v>
      </c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</row>
    <row r="59" spans="1:36" ht="15">
      <c r="A59" s="17"/>
      <c r="B59" s="31" t="s">
        <v>28</v>
      </c>
      <c r="C59" s="17"/>
      <c r="D59" s="32">
        <f aca="true" t="shared" si="7" ref="D59:O59">SUM(D53:D58)</f>
        <v>25.380910256410253</v>
      </c>
      <c r="E59" s="32">
        <f t="shared" si="7"/>
        <v>18.25008974358974</v>
      </c>
      <c r="F59" s="32">
        <f t="shared" si="7"/>
        <v>81.775</v>
      </c>
      <c r="G59" s="32">
        <f t="shared" si="7"/>
        <v>616.3203205128206</v>
      </c>
      <c r="H59" s="32">
        <f t="shared" si="7"/>
        <v>53.31252564102564</v>
      </c>
      <c r="I59" s="32">
        <f t="shared" si="7"/>
        <v>22.421730769230766</v>
      </c>
      <c r="J59" s="32">
        <f t="shared" si="7"/>
        <v>165.40891025641025</v>
      </c>
      <c r="K59" s="32">
        <f t="shared" si="7"/>
        <v>4.189102564102564</v>
      </c>
      <c r="L59" s="32">
        <f t="shared" si="7"/>
        <v>133.9382051282051</v>
      </c>
      <c r="M59" s="32">
        <f t="shared" si="7"/>
        <v>296.786282051282</v>
      </c>
      <c r="N59" s="32">
        <f t="shared" si="7"/>
        <v>83.97974358974358</v>
      </c>
      <c r="O59" s="32">
        <f t="shared" si="7"/>
        <v>7.896282051282052</v>
      </c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</row>
    <row r="60" spans="1:15" ht="15" customHeight="1">
      <c r="A60" s="205" t="s">
        <v>82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1"/>
    </row>
    <row r="61" spans="1:36" ht="14.25">
      <c r="A61" s="29" t="s">
        <v>60</v>
      </c>
      <c r="B61" s="28" t="s">
        <v>84</v>
      </c>
      <c r="C61" s="30" t="s">
        <v>58</v>
      </c>
      <c r="D61" s="142">
        <f>12.36*60/80</f>
        <v>9.27</v>
      </c>
      <c r="E61" s="142">
        <f>10.53*60/80</f>
        <v>7.897499999999999</v>
      </c>
      <c r="F61" s="142">
        <f>13.02*60/80</f>
        <v>9.764999999999999</v>
      </c>
      <c r="G61" s="142">
        <f>256.4*60/80</f>
        <v>192.29999999999998</v>
      </c>
      <c r="H61" s="143">
        <f>0.06*60/80</f>
        <v>0.045</v>
      </c>
      <c r="I61" s="143">
        <f>0.41*60/80</f>
        <v>0.3075</v>
      </c>
      <c r="J61" s="143">
        <f>65.12*60/80</f>
        <v>48.84</v>
      </c>
      <c r="K61" s="143">
        <f>0.71*60/80</f>
        <v>0.5325</v>
      </c>
      <c r="L61" s="143">
        <f>63.56*60/80</f>
        <v>47.67</v>
      </c>
      <c r="M61" s="143">
        <f>62.82*60/80</f>
        <v>47.114999999999995</v>
      </c>
      <c r="N61" s="143">
        <f>12.93*60/80</f>
        <v>9.6975</v>
      </c>
      <c r="O61" s="143">
        <f>23.18*60/80</f>
        <v>17.384999999999998</v>
      </c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1:36" ht="14.25">
      <c r="A62" s="29"/>
      <c r="B62" s="28" t="s">
        <v>21</v>
      </c>
      <c r="C62" s="30" t="s">
        <v>25</v>
      </c>
      <c r="D62" s="141">
        <f>2.02*20/30</f>
        <v>1.3466666666666667</v>
      </c>
      <c r="E62" s="141">
        <f>0.4*20/30</f>
        <v>0.26666666666666666</v>
      </c>
      <c r="F62" s="141">
        <f>12.1*20/30</f>
        <v>8.066666666666666</v>
      </c>
      <c r="G62" s="141">
        <f>65*20/30</f>
        <v>43.333333333333336</v>
      </c>
      <c r="H62" s="110">
        <f>0.05*20/30</f>
        <v>0.03333333333333333</v>
      </c>
      <c r="I62" s="110">
        <v>0</v>
      </c>
      <c r="J62" s="110">
        <v>0</v>
      </c>
      <c r="K62" s="110">
        <f>0.45*20/30</f>
        <v>0.3</v>
      </c>
      <c r="L62" s="110">
        <f>7.5*20/30</f>
        <v>5</v>
      </c>
      <c r="M62" s="110">
        <f>24.68*20/30</f>
        <v>16.453333333333333</v>
      </c>
      <c r="N62" s="110">
        <f>5.32*20/30</f>
        <v>3.546666666666667</v>
      </c>
      <c r="O62" s="110">
        <f>0.45*20/30</f>
        <v>0.3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1:36" ht="14.25">
      <c r="A63" s="29">
        <v>685</v>
      </c>
      <c r="B63" s="28" t="s">
        <v>85</v>
      </c>
      <c r="C63" s="30" t="s">
        <v>97</v>
      </c>
      <c r="D63" s="141">
        <f>0.2*150/180</f>
        <v>0.16666666666666666</v>
      </c>
      <c r="E63" s="141">
        <v>0</v>
      </c>
      <c r="F63" s="141">
        <f>15*150/180</f>
        <v>12.5</v>
      </c>
      <c r="G63" s="141">
        <f>58*150/180</f>
        <v>48.333333333333336</v>
      </c>
      <c r="H63" s="110">
        <v>0</v>
      </c>
      <c r="I63" s="110">
        <f>2.2*150/180</f>
        <v>1.8333333333333333</v>
      </c>
      <c r="J63" s="110">
        <v>0</v>
      </c>
      <c r="K63" s="110">
        <v>0</v>
      </c>
      <c r="L63" s="110">
        <f>87*150/180</f>
        <v>72.5</v>
      </c>
      <c r="M63" s="110">
        <f>68*150/180</f>
        <v>56.666666666666664</v>
      </c>
      <c r="N63" s="110">
        <f>14*150/180</f>
        <v>11.666666666666666</v>
      </c>
      <c r="O63" s="110">
        <f>0.8*150/180</f>
        <v>0.6666666666666666</v>
      </c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1:36" ht="15">
      <c r="A64" s="56"/>
      <c r="B64" s="65" t="s">
        <v>28</v>
      </c>
      <c r="C64" s="66"/>
      <c r="D64" s="184">
        <f>SUM(D61:D63)</f>
        <v>10.783333333333333</v>
      </c>
      <c r="E64" s="184">
        <f aca="true" t="shared" si="8" ref="E64:O64">SUM(E61:E63)</f>
        <v>8.164166666666667</v>
      </c>
      <c r="F64" s="184">
        <f t="shared" si="8"/>
        <v>30.331666666666663</v>
      </c>
      <c r="G64" s="184">
        <f t="shared" si="8"/>
        <v>283.96666666666664</v>
      </c>
      <c r="H64" s="184">
        <f t="shared" si="8"/>
        <v>0.07833333333333334</v>
      </c>
      <c r="I64" s="184">
        <f t="shared" si="8"/>
        <v>2.140833333333333</v>
      </c>
      <c r="J64" s="184">
        <f t="shared" si="8"/>
        <v>48.84</v>
      </c>
      <c r="K64" s="184">
        <f t="shared" si="8"/>
        <v>0.8325</v>
      </c>
      <c r="L64" s="184">
        <f t="shared" si="8"/>
        <v>125.17</v>
      </c>
      <c r="M64" s="184">
        <f t="shared" si="8"/>
        <v>120.23499999999999</v>
      </c>
      <c r="N64" s="184">
        <f t="shared" si="8"/>
        <v>24.910833333333333</v>
      </c>
      <c r="O64" s="184">
        <f t="shared" si="8"/>
        <v>18.351666666666667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1:36" ht="15">
      <c r="A65" s="49"/>
      <c r="B65" s="55" t="s">
        <v>29</v>
      </c>
      <c r="C65" s="56"/>
      <c r="D65" s="184">
        <f>D48+D59+D64+D51</f>
        <v>45.07757692307691</v>
      </c>
      <c r="E65" s="184">
        <f aca="true" t="shared" si="9" ref="E65:O65">E48+E59+E64+E51</f>
        <v>35.77592307692307</v>
      </c>
      <c r="F65" s="184">
        <f t="shared" si="9"/>
        <v>182.6593333333333</v>
      </c>
      <c r="G65" s="184">
        <f t="shared" si="9"/>
        <v>1304.1176538461539</v>
      </c>
      <c r="H65" s="184">
        <f t="shared" si="9"/>
        <v>184.10329230769233</v>
      </c>
      <c r="I65" s="184">
        <f t="shared" si="9"/>
        <v>30.045397435897435</v>
      </c>
      <c r="J65" s="184">
        <f t="shared" si="9"/>
        <v>280.5484102564103</v>
      </c>
      <c r="K65" s="184">
        <f t="shared" si="9"/>
        <v>5.619102564102564</v>
      </c>
      <c r="L65" s="184">
        <f t="shared" si="9"/>
        <v>479.24020512820516</v>
      </c>
      <c r="M65" s="184">
        <f t="shared" si="9"/>
        <v>640.931282051282</v>
      </c>
      <c r="N65" s="184">
        <f t="shared" si="9"/>
        <v>163.87241025641023</v>
      </c>
      <c r="O65" s="184">
        <f t="shared" si="9"/>
        <v>28.047615384615384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1:36" ht="15">
      <c r="A66" s="7"/>
      <c r="B66" s="1"/>
      <c r="C66" s="5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1:15" ht="15">
      <c r="A67" s="7"/>
      <c r="B67" s="1"/>
      <c r="C67" s="5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 ht="132.75" customHeight="1">
      <c r="A68" s="7"/>
      <c r="B68" s="1"/>
      <c r="C68" s="5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33" customHeight="1">
      <c r="A69" s="7"/>
      <c r="B69" s="2"/>
      <c r="C69" s="58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5" customHeight="1">
      <c r="A70" s="7"/>
      <c r="B70" s="2"/>
      <c r="C70" s="58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5" customHeight="1">
      <c r="A71" s="106" t="s">
        <v>30</v>
      </c>
      <c r="B71" s="207" t="s">
        <v>113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5" ht="15">
      <c r="A72" s="7"/>
      <c r="B72" s="2"/>
      <c r="C72" s="58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4.25">
      <c r="A73" s="10" t="s">
        <v>0</v>
      </c>
      <c r="B73" s="9" t="s">
        <v>1</v>
      </c>
      <c r="C73" s="10" t="s">
        <v>2</v>
      </c>
      <c r="D73" s="208" t="s">
        <v>3</v>
      </c>
      <c r="E73" s="209"/>
      <c r="F73" s="210"/>
      <c r="G73" s="10" t="s">
        <v>4</v>
      </c>
      <c r="H73" s="45" t="s">
        <v>5</v>
      </c>
      <c r="I73" s="46"/>
      <c r="J73" s="46"/>
      <c r="K73" s="47"/>
      <c r="L73" s="208" t="s">
        <v>6</v>
      </c>
      <c r="M73" s="209"/>
      <c r="N73" s="209"/>
      <c r="O73" s="210"/>
    </row>
    <row r="74" spans="1:15" ht="18.75">
      <c r="A74" s="13" t="s">
        <v>7</v>
      </c>
      <c r="B74" s="14"/>
      <c r="C74" s="13"/>
      <c r="D74" s="13" t="s">
        <v>8</v>
      </c>
      <c r="E74" s="13" t="s">
        <v>9</v>
      </c>
      <c r="F74" s="13" t="s">
        <v>10</v>
      </c>
      <c r="G74" s="13" t="s">
        <v>11</v>
      </c>
      <c r="H74" s="15" t="s">
        <v>68</v>
      </c>
      <c r="I74" s="15" t="s">
        <v>12</v>
      </c>
      <c r="J74" s="15" t="s">
        <v>13</v>
      </c>
      <c r="K74" s="15" t="s">
        <v>14</v>
      </c>
      <c r="L74" s="16" t="s">
        <v>15</v>
      </c>
      <c r="M74" s="16" t="s">
        <v>16</v>
      </c>
      <c r="N74" s="16" t="s">
        <v>17</v>
      </c>
      <c r="O74" s="16" t="s">
        <v>18</v>
      </c>
    </row>
    <row r="75" spans="1:15" ht="14.25">
      <c r="A75" s="15">
        <v>1</v>
      </c>
      <c r="B75" s="11">
        <v>2</v>
      </c>
      <c r="C75" s="12">
        <v>3</v>
      </c>
      <c r="D75" s="11">
        <v>4</v>
      </c>
      <c r="E75" s="11">
        <v>5</v>
      </c>
      <c r="F75" s="11">
        <v>6</v>
      </c>
      <c r="G75" s="11">
        <v>7</v>
      </c>
      <c r="H75" s="15">
        <v>8</v>
      </c>
      <c r="I75" s="15">
        <v>9</v>
      </c>
      <c r="J75" s="15">
        <v>10</v>
      </c>
      <c r="K75" s="15">
        <v>11</v>
      </c>
      <c r="L75" s="16">
        <v>12</v>
      </c>
      <c r="M75" s="16">
        <v>13</v>
      </c>
      <c r="N75" s="16">
        <v>14</v>
      </c>
      <c r="O75" s="16">
        <v>15</v>
      </c>
    </row>
    <row r="76" spans="1:15" ht="15">
      <c r="A76" s="20"/>
      <c r="B76" s="21" t="s">
        <v>41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27" customHeight="1">
      <c r="A77" s="130" t="s">
        <v>19</v>
      </c>
      <c r="B77" s="130"/>
      <c r="C77" s="20"/>
      <c r="D77" s="211" t="s">
        <v>26</v>
      </c>
      <c r="E77" s="211"/>
      <c r="F77" s="19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32.25" customHeight="1">
      <c r="A78" s="218" t="s">
        <v>62</v>
      </c>
      <c r="B78" s="21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5">
      <c r="A79" s="35"/>
      <c r="B79" s="5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6" ht="14.25">
      <c r="A80" s="17">
        <v>161</v>
      </c>
      <c r="B80" s="23" t="s">
        <v>86</v>
      </c>
      <c r="C80" s="25">
        <v>170</v>
      </c>
      <c r="D80" s="125">
        <f>7.16*170/200</f>
        <v>6.086</v>
      </c>
      <c r="E80" s="125">
        <f>10.5*170/200</f>
        <v>8.925</v>
      </c>
      <c r="F80" s="125">
        <f>28.9*170/200</f>
        <v>24.565</v>
      </c>
      <c r="G80" s="125">
        <f>239*170/200</f>
        <v>203.15</v>
      </c>
      <c r="H80" s="125">
        <f>0.13*170/200</f>
        <v>0.1105</v>
      </c>
      <c r="I80" s="125">
        <f>0.24*170/200</f>
        <v>0.204</v>
      </c>
      <c r="J80" s="127">
        <f>68.75*170/200</f>
        <v>58.4375</v>
      </c>
      <c r="K80" s="127">
        <f>0.69*170/200</f>
        <v>0.5865</v>
      </c>
      <c r="L80" s="127">
        <f>148.93*170/200</f>
        <v>126.5905</v>
      </c>
      <c r="M80" s="127">
        <f>185.11*170/200</f>
        <v>157.3435</v>
      </c>
      <c r="N80" s="127">
        <f>21.3*170/200</f>
        <v>18.105</v>
      </c>
      <c r="O80" s="127">
        <f>7.17*170/200</f>
        <v>6.0945</v>
      </c>
      <c r="P80" s="107"/>
    </row>
    <row r="81" spans="1:16" ht="14.25">
      <c r="A81" s="60"/>
      <c r="B81" s="61" t="s">
        <v>21</v>
      </c>
      <c r="C81" s="54">
        <v>20</v>
      </c>
      <c r="D81" s="155">
        <f>2.02*20/30</f>
        <v>1.3466666666666667</v>
      </c>
      <c r="E81" s="155">
        <f>0.4*20/30</f>
        <v>0.26666666666666666</v>
      </c>
      <c r="F81" s="155">
        <f>12.1*20/30</f>
        <v>8.066666666666666</v>
      </c>
      <c r="G81" s="155">
        <f>65*20/30</f>
        <v>43.333333333333336</v>
      </c>
      <c r="H81" s="156">
        <f>0.05*20/30</f>
        <v>0.03333333333333333</v>
      </c>
      <c r="I81" s="156">
        <v>0</v>
      </c>
      <c r="J81" s="156">
        <v>0</v>
      </c>
      <c r="K81" s="156">
        <f>0.45*20/30</f>
        <v>0.3</v>
      </c>
      <c r="L81" s="156">
        <f>7.5*20/30</f>
        <v>5</v>
      </c>
      <c r="M81" s="156">
        <f>24.68*20/30</f>
        <v>16.453333333333333</v>
      </c>
      <c r="N81" s="156">
        <f>5.32*20/30</f>
        <v>3.546666666666667</v>
      </c>
      <c r="O81" s="156">
        <f>0.45*20/30</f>
        <v>0.3</v>
      </c>
      <c r="P81" s="107"/>
    </row>
    <row r="82" spans="1:16" ht="14.25">
      <c r="A82" s="29">
        <v>692</v>
      </c>
      <c r="B82" s="28" t="s">
        <v>87</v>
      </c>
      <c r="C82" s="29">
        <v>150</v>
      </c>
      <c r="D82" s="157">
        <f>3.77*150/180</f>
        <v>3.1416666666666666</v>
      </c>
      <c r="E82" s="125">
        <f>0.1615*150/180</f>
        <v>0.13458333333333333</v>
      </c>
      <c r="F82" s="157">
        <f>25.78*150/180</f>
        <v>21.483333333333334</v>
      </c>
      <c r="G82" s="157">
        <f>153.28*150/180</f>
        <v>127.73333333333333</v>
      </c>
      <c r="H82" s="157">
        <f>0.02*150/180</f>
        <v>0.016666666666666666</v>
      </c>
      <c r="I82" s="157">
        <f>0.65*150/180</f>
        <v>0.5416666666666666</v>
      </c>
      <c r="J82" s="157">
        <f>0.01*150/180</f>
        <v>0.008333333333333333</v>
      </c>
      <c r="K82" s="157">
        <v>0</v>
      </c>
      <c r="L82" s="157">
        <f>60.4*150/180</f>
        <v>50.333333333333336</v>
      </c>
      <c r="M82" s="157">
        <f>45*150/180</f>
        <v>37.5</v>
      </c>
      <c r="N82" s="157">
        <f>7*150/180</f>
        <v>5.833333333333333</v>
      </c>
      <c r="O82" s="157">
        <f>0.9*150/180</f>
        <v>0.75</v>
      </c>
      <c r="P82" s="107"/>
    </row>
    <row r="83" spans="1:17" ht="15">
      <c r="A83" s="17"/>
      <c r="B83" s="31" t="s">
        <v>28</v>
      </c>
      <c r="C83" s="17"/>
      <c r="D83" s="32">
        <f aca="true" t="shared" si="10" ref="D83:O83">SUM(D80:D82)</f>
        <v>10.574333333333334</v>
      </c>
      <c r="E83" s="32">
        <f t="shared" si="10"/>
        <v>9.326250000000002</v>
      </c>
      <c r="F83" s="32">
        <f t="shared" si="10"/>
        <v>54.115</v>
      </c>
      <c r="G83" s="32">
        <f t="shared" si="10"/>
        <v>374.2166666666667</v>
      </c>
      <c r="H83" s="32">
        <f t="shared" si="10"/>
        <v>0.1605</v>
      </c>
      <c r="I83" s="32">
        <f>SUM(I80:I82)</f>
        <v>0.7456666666666666</v>
      </c>
      <c r="J83" s="32">
        <f t="shared" si="10"/>
        <v>58.44583333333333</v>
      </c>
      <c r="K83" s="32">
        <f t="shared" si="10"/>
        <v>0.8865000000000001</v>
      </c>
      <c r="L83" s="32">
        <f t="shared" si="10"/>
        <v>181.92383333333336</v>
      </c>
      <c r="M83" s="32">
        <f>SUM(M80:M82)</f>
        <v>211.29683333333332</v>
      </c>
      <c r="N83" s="32">
        <f t="shared" si="10"/>
        <v>27.485</v>
      </c>
      <c r="O83" s="32">
        <f t="shared" si="10"/>
        <v>7.1445</v>
      </c>
      <c r="P83" s="107"/>
      <c r="Q83" s="6"/>
    </row>
    <row r="84" spans="1:15" ht="15" customHeight="1">
      <c r="A84" s="199" t="s">
        <v>114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1"/>
    </row>
    <row r="85" spans="1:15" ht="14.25">
      <c r="A85" s="26"/>
      <c r="B85" s="27" t="s">
        <v>115</v>
      </c>
      <c r="C85" s="29">
        <v>100</v>
      </c>
      <c r="D85" s="183">
        <v>4.35</v>
      </c>
      <c r="E85" s="183">
        <v>4.8</v>
      </c>
      <c r="F85" s="183">
        <v>6</v>
      </c>
      <c r="G85" s="183">
        <v>88.5</v>
      </c>
      <c r="H85" s="183">
        <v>0.15</v>
      </c>
      <c r="I85" s="183">
        <v>1.05</v>
      </c>
      <c r="J85" s="183">
        <v>0</v>
      </c>
      <c r="K85" s="183">
        <v>0</v>
      </c>
      <c r="L85" s="183">
        <v>180</v>
      </c>
      <c r="M85" s="183">
        <v>142.5</v>
      </c>
      <c r="N85" s="183">
        <v>21</v>
      </c>
      <c r="O85" s="183">
        <v>0.15</v>
      </c>
    </row>
    <row r="86" spans="1:15" ht="15">
      <c r="A86" s="17"/>
      <c r="B86" s="31" t="s">
        <v>28</v>
      </c>
      <c r="C86" s="17"/>
      <c r="D86" s="147">
        <f aca="true" t="shared" si="11" ref="D86:O86">SUM(D85)</f>
        <v>4.35</v>
      </c>
      <c r="E86" s="147">
        <f t="shared" si="11"/>
        <v>4.8</v>
      </c>
      <c r="F86" s="147">
        <f t="shared" si="11"/>
        <v>6</v>
      </c>
      <c r="G86" s="147">
        <f t="shared" si="11"/>
        <v>88.5</v>
      </c>
      <c r="H86" s="147">
        <f t="shared" si="11"/>
        <v>0.15</v>
      </c>
      <c r="I86" s="147">
        <f t="shared" si="11"/>
        <v>1.05</v>
      </c>
      <c r="J86" s="147">
        <f t="shared" si="11"/>
        <v>0</v>
      </c>
      <c r="K86" s="147">
        <f t="shared" si="11"/>
        <v>0</v>
      </c>
      <c r="L86" s="147">
        <f t="shared" si="11"/>
        <v>180</v>
      </c>
      <c r="M86" s="147">
        <f t="shared" si="11"/>
        <v>142.5</v>
      </c>
      <c r="N86" s="147">
        <f t="shared" si="11"/>
        <v>21</v>
      </c>
      <c r="O86" s="147">
        <f t="shared" si="11"/>
        <v>0.15</v>
      </c>
    </row>
    <row r="87" spans="1:16" s="98" customFormat="1" ht="25.5" customHeight="1">
      <c r="A87" s="7"/>
      <c r="B87" s="2"/>
      <c r="C87" s="7"/>
      <c r="D87" s="35" t="s">
        <v>23</v>
      </c>
      <c r="E87" s="35"/>
      <c r="F87" s="35"/>
      <c r="G87" s="7"/>
      <c r="H87" s="7"/>
      <c r="I87" s="7"/>
      <c r="J87" s="7"/>
      <c r="K87" s="7"/>
      <c r="L87" s="7"/>
      <c r="M87" s="7"/>
      <c r="N87" s="7"/>
      <c r="O87" s="7"/>
      <c r="P87" s="108"/>
    </row>
    <row r="88" spans="1:16" ht="14.25">
      <c r="A88" s="29">
        <v>70</v>
      </c>
      <c r="B88" s="23" t="s">
        <v>69</v>
      </c>
      <c r="C88" s="25">
        <v>40</v>
      </c>
      <c r="D88" s="125">
        <f>2.4*40/60</f>
        <v>1.6</v>
      </c>
      <c r="E88" s="125">
        <f>0.4*40/60</f>
        <v>0.26666666666666666</v>
      </c>
      <c r="F88" s="125">
        <f>11*40/60</f>
        <v>7.333333333333333</v>
      </c>
      <c r="G88" s="125">
        <f>50*40/60</f>
        <v>33.333333333333336</v>
      </c>
      <c r="H88" s="125">
        <f>46.6*40/60</f>
        <v>31.066666666666666</v>
      </c>
      <c r="I88" s="125">
        <f>0.1*40/60</f>
        <v>0.06666666666666667</v>
      </c>
      <c r="J88" s="127">
        <f>0.04*40/60</f>
        <v>0.02666666666666667</v>
      </c>
      <c r="K88" s="127">
        <v>0.34</v>
      </c>
      <c r="L88" s="127">
        <f>76.66*40/60</f>
        <v>51.10666666666666</v>
      </c>
      <c r="M88" s="127">
        <f>140*40/60</f>
        <v>93.33333333333333</v>
      </c>
      <c r="N88" s="127">
        <f>46.66*40/60</f>
        <v>31.106666666666666</v>
      </c>
      <c r="O88" s="127">
        <f>2*40/60</f>
        <v>1.3333333333333333</v>
      </c>
      <c r="P88" s="107"/>
    </row>
    <row r="89" spans="1:16" ht="14.25">
      <c r="A89" s="62">
        <v>140</v>
      </c>
      <c r="B89" s="53" t="s">
        <v>53</v>
      </c>
      <c r="C89" s="26" t="s">
        <v>107</v>
      </c>
      <c r="D89" s="151">
        <f>3.4*150/200</f>
        <v>2.55</v>
      </c>
      <c r="E89" s="151">
        <f>6.8*150/200</f>
        <v>5.1</v>
      </c>
      <c r="F89" s="151">
        <f>23.1*150/200</f>
        <v>17.325</v>
      </c>
      <c r="G89" s="151">
        <f>145*150/200</f>
        <v>108.75</v>
      </c>
      <c r="H89" s="152">
        <f>0.08*150/200</f>
        <v>0.06</v>
      </c>
      <c r="I89" s="152">
        <v>0</v>
      </c>
      <c r="J89" s="152">
        <f>10.01*150/200</f>
        <v>7.5075</v>
      </c>
      <c r="K89" s="152">
        <f>0.2*150/200</f>
        <v>0.15</v>
      </c>
      <c r="L89" s="152">
        <f>18.1*150/200</f>
        <v>13.575</v>
      </c>
      <c r="M89" s="152">
        <f>49.1*150/200</f>
        <v>36.825</v>
      </c>
      <c r="N89" s="152">
        <f>17.83*150/200</f>
        <v>13.372499999999997</v>
      </c>
      <c r="O89" s="152">
        <f>0.79*150/200</f>
        <v>0.5925</v>
      </c>
      <c r="P89" s="107"/>
    </row>
    <row r="90" spans="1:16" ht="14.25">
      <c r="A90" s="38" t="s">
        <v>55</v>
      </c>
      <c r="B90" s="122" t="s">
        <v>54</v>
      </c>
      <c r="C90" s="181" t="s">
        <v>63</v>
      </c>
      <c r="D90" s="155">
        <v>17.11</v>
      </c>
      <c r="E90" s="155">
        <v>20.95</v>
      </c>
      <c r="F90" s="155">
        <v>31.8</v>
      </c>
      <c r="G90" s="155">
        <v>383.52</v>
      </c>
      <c r="H90" s="156">
        <v>0.36</v>
      </c>
      <c r="I90" s="156">
        <v>40.68</v>
      </c>
      <c r="J90" s="156">
        <v>0.288</v>
      </c>
      <c r="K90" s="156">
        <v>0.68</v>
      </c>
      <c r="L90" s="156">
        <v>52.92</v>
      </c>
      <c r="M90" s="156">
        <v>417.6</v>
      </c>
      <c r="N90" s="156">
        <v>81.7</v>
      </c>
      <c r="O90" s="156">
        <v>5.07</v>
      </c>
      <c r="P90" s="107"/>
    </row>
    <row r="91" spans="1:16" ht="15">
      <c r="A91" s="29">
        <v>705</v>
      </c>
      <c r="B91" s="124" t="s">
        <v>34</v>
      </c>
      <c r="C91" s="29">
        <v>150</v>
      </c>
      <c r="D91" s="161">
        <f>0.68*150/180</f>
        <v>0.5666666666666668</v>
      </c>
      <c r="E91" s="161">
        <f>0.28*150/180</f>
        <v>0.23333333333333336</v>
      </c>
      <c r="F91" s="161">
        <f>29.62*150/180</f>
        <v>24.683333333333334</v>
      </c>
      <c r="G91" s="161">
        <f>123.72*150/180</f>
        <v>103.1</v>
      </c>
      <c r="H91" s="161">
        <f>0.014*150/180</f>
        <v>0.011666666666666667</v>
      </c>
      <c r="I91" s="161">
        <f>0.28*150/180</f>
        <v>0.23333333333333336</v>
      </c>
      <c r="J91" s="161">
        <f>163.4*150/180</f>
        <v>136.16666666666666</v>
      </c>
      <c r="K91" s="161">
        <f>0.76*150/180</f>
        <v>0.6333333333333333</v>
      </c>
      <c r="L91" s="161">
        <f>12.6*150/180</f>
        <v>10.5</v>
      </c>
      <c r="M91" s="161">
        <f>3.4*150/180</f>
        <v>2.8333333333333335</v>
      </c>
      <c r="N91" s="161">
        <f>3.4*150/180</f>
        <v>2.8333333333333335</v>
      </c>
      <c r="O91" s="161">
        <f>0.66*150/180</f>
        <v>0.55</v>
      </c>
      <c r="P91" s="107"/>
    </row>
    <row r="92" spans="1:16" ht="14.25">
      <c r="A92" s="29"/>
      <c r="B92" s="28" t="s">
        <v>21</v>
      </c>
      <c r="C92" s="30" t="s">
        <v>22</v>
      </c>
      <c r="D92" s="155">
        <v>2.02</v>
      </c>
      <c r="E92" s="155">
        <v>0.4</v>
      </c>
      <c r="F92" s="155">
        <v>12.1</v>
      </c>
      <c r="G92" s="155">
        <v>65</v>
      </c>
      <c r="H92" s="156">
        <v>0.05</v>
      </c>
      <c r="I92" s="156">
        <v>0</v>
      </c>
      <c r="J92" s="156">
        <v>0</v>
      </c>
      <c r="K92" s="156">
        <v>0.45</v>
      </c>
      <c r="L92" s="156">
        <v>7.5</v>
      </c>
      <c r="M92" s="156">
        <v>24.68</v>
      </c>
      <c r="N92" s="156">
        <v>5.32</v>
      </c>
      <c r="O92" s="156">
        <v>0.45</v>
      </c>
      <c r="P92" s="107"/>
    </row>
    <row r="93" spans="1:16" ht="15">
      <c r="A93" s="17"/>
      <c r="B93" s="31" t="s">
        <v>28</v>
      </c>
      <c r="C93" s="17"/>
      <c r="D93" s="32">
        <f aca="true" t="shared" si="12" ref="D93:L93">SUM(D88:D92)</f>
        <v>23.846666666666664</v>
      </c>
      <c r="E93" s="32">
        <f t="shared" si="12"/>
        <v>26.95</v>
      </c>
      <c r="F93" s="32">
        <f t="shared" si="12"/>
        <v>93.24166666666666</v>
      </c>
      <c r="G93" s="32">
        <f t="shared" si="12"/>
        <v>693.7033333333334</v>
      </c>
      <c r="H93" s="32">
        <f t="shared" si="12"/>
        <v>31.548333333333332</v>
      </c>
      <c r="I93" s="32">
        <f t="shared" si="12"/>
        <v>40.980000000000004</v>
      </c>
      <c r="J93" s="32">
        <f t="shared" si="12"/>
        <v>143.98883333333333</v>
      </c>
      <c r="K93" s="32">
        <f t="shared" si="12"/>
        <v>2.2533333333333334</v>
      </c>
      <c r="L93" s="32">
        <f t="shared" si="12"/>
        <v>135.60166666666666</v>
      </c>
      <c r="M93" s="32">
        <v>281.72</v>
      </c>
      <c r="N93" s="32">
        <f>SUM(N88:N92)</f>
        <v>134.3325</v>
      </c>
      <c r="O93" s="32">
        <f>SUM(O88:O92)</f>
        <v>7.995833333333334</v>
      </c>
      <c r="P93" s="107"/>
    </row>
    <row r="94" spans="1:15" ht="15" customHeight="1">
      <c r="A94" s="205" t="s">
        <v>82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1"/>
    </row>
    <row r="95" spans="1:16" ht="14.25">
      <c r="A95" s="17"/>
      <c r="B95" s="31" t="s">
        <v>105</v>
      </c>
      <c r="C95" s="17">
        <v>30</v>
      </c>
      <c r="D95" s="162">
        <f>5.8*30/40</f>
        <v>4.35</v>
      </c>
      <c r="E95" s="162">
        <f>22.6*30/40</f>
        <v>16.95</v>
      </c>
      <c r="F95" s="162">
        <f>20.8*30/40</f>
        <v>15.6</v>
      </c>
      <c r="G95" s="162">
        <f>156*30/40</f>
        <v>117</v>
      </c>
      <c r="H95" s="162">
        <v>0</v>
      </c>
      <c r="I95" s="162">
        <f>2.2*30/40</f>
        <v>1.65</v>
      </c>
      <c r="J95" s="163">
        <v>0</v>
      </c>
      <c r="K95" s="163">
        <v>0</v>
      </c>
      <c r="L95" s="163">
        <f>16*30/40</f>
        <v>12</v>
      </c>
      <c r="M95" s="163">
        <f>8*30/40</f>
        <v>6</v>
      </c>
      <c r="N95" s="163">
        <f>6*30/40</f>
        <v>4.5</v>
      </c>
      <c r="O95" s="163">
        <f>0.8*30/40</f>
        <v>0.6</v>
      </c>
      <c r="P95" s="107"/>
    </row>
    <row r="96" spans="1:16" ht="14.25">
      <c r="A96" s="29">
        <v>685</v>
      </c>
      <c r="B96" s="31" t="s">
        <v>20</v>
      </c>
      <c r="C96" s="17">
        <v>150</v>
      </c>
      <c r="D96" s="164">
        <f>0.2*150/180</f>
        <v>0.16666666666666666</v>
      </c>
      <c r="E96" s="164">
        <v>0</v>
      </c>
      <c r="F96" s="164">
        <f>15*150/180</f>
        <v>12.5</v>
      </c>
      <c r="G96" s="164">
        <f>58*150/180</f>
        <v>48.333333333333336</v>
      </c>
      <c r="H96" s="165">
        <v>0</v>
      </c>
      <c r="I96" s="165">
        <f>2.2*150/180</f>
        <v>1.8333333333333333</v>
      </c>
      <c r="J96" s="165">
        <v>0</v>
      </c>
      <c r="K96" s="165">
        <v>0</v>
      </c>
      <c r="L96" s="165">
        <f>87*150/180</f>
        <v>72.5</v>
      </c>
      <c r="M96" s="165">
        <f>68*150/180</f>
        <v>56.666666666666664</v>
      </c>
      <c r="N96" s="165">
        <f>14*150/180</f>
        <v>11.666666666666666</v>
      </c>
      <c r="O96" s="165">
        <f>0.8*150/180</f>
        <v>0.6666666666666666</v>
      </c>
      <c r="P96" s="107"/>
    </row>
    <row r="97" spans="1:16" ht="14.25">
      <c r="A97" s="17"/>
      <c r="B97" s="31" t="s">
        <v>96</v>
      </c>
      <c r="C97" s="17">
        <v>100</v>
      </c>
      <c r="D97" s="164">
        <f>0.2*100/150</f>
        <v>0.13333333333333333</v>
      </c>
      <c r="E97" s="164">
        <v>0</v>
      </c>
      <c r="F97" s="164">
        <f>15*100/150</f>
        <v>10</v>
      </c>
      <c r="G97" s="164">
        <f>58*100/150</f>
        <v>38.666666666666664</v>
      </c>
      <c r="H97" s="165">
        <v>0</v>
      </c>
      <c r="I97" s="165">
        <f>2.2*100/150</f>
        <v>1.4666666666666668</v>
      </c>
      <c r="J97" s="165">
        <v>0</v>
      </c>
      <c r="K97" s="165">
        <v>0</v>
      </c>
      <c r="L97" s="165">
        <f>87*100/150</f>
        <v>58</v>
      </c>
      <c r="M97" s="165">
        <f>68*100/150</f>
        <v>45.333333333333336</v>
      </c>
      <c r="N97" s="165">
        <f>14*100/150</f>
        <v>9.333333333333334</v>
      </c>
      <c r="O97" s="165">
        <f>0.8*100/150</f>
        <v>0.5333333333333333</v>
      </c>
      <c r="P97" s="107"/>
    </row>
    <row r="98" spans="1:16" ht="15">
      <c r="A98" s="17"/>
      <c r="B98" s="31" t="s">
        <v>28</v>
      </c>
      <c r="C98" s="17"/>
      <c r="D98" s="166">
        <f>SUM(D95:D97)</f>
        <v>4.65</v>
      </c>
      <c r="E98" s="166">
        <f aca="true" t="shared" si="13" ref="E98:O98">SUM(E95:E97)</f>
        <v>16.95</v>
      </c>
      <c r="F98" s="166">
        <f t="shared" si="13"/>
        <v>38.1</v>
      </c>
      <c r="G98" s="166">
        <f t="shared" si="13"/>
        <v>204</v>
      </c>
      <c r="H98" s="166">
        <f t="shared" si="13"/>
        <v>0</v>
      </c>
      <c r="I98" s="166">
        <f t="shared" si="13"/>
        <v>4.95</v>
      </c>
      <c r="J98" s="166">
        <f t="shared" si="13"/>
        <v>0</v>
      </c>
      <c r="K98" s="166">
        <f t="shared" si="13"/>
        <v>0</v>
      </c>
      <c r="L98" s="166">
        <f t="shared" si="13"/>
        <v>142.5</v>
      </c>
      <c r="M98" s="166">
        <f t="shared" si="13"/>
        <v>108</v>
      </c>
      <c r="N98" s="166">
        <f t="shared" si="13"/>
        <v>25.5</v>
      </c>
      <c r="O98" s="166">
        <f t="shared" si="13"/>
        <v>1.7999999999999998</v>
      </c>
      <c r="P98" s="107"/>
    </row>
    <row r="99" spans="1:16" ht="15">
      <c r="A99" s="29"/>
      <c r="B99" s="63" t="s">
        <v>29</v>
      </c>
      <c r="C99" s="29"/>
      <c r="D99" s="167">
        <f>D83+D93+D98+D86</f>
        <v>43.421</v>
      </c>
      <c r="E99" s="167">
        <f aca="true" t="shared" si="14" ref="E99:O99">E83+E93+E98+E86</f>
        <v>58.026250000000005</v>
      </c>
      <c r="F99" s="167">
        <f t="shared" si="14"/>
        <v>191.45666666666665</v>
      </c>
      <c r="G99" s="167">
        <f t="shared" si="14"/>
        <v>1360.42</v>
      </c>
      <c r="H99" s="167">
        <f t="shared" si="14"/>
        <v>31.85883333333333</v>
      </c>
      <c r="I99" s="167">
        <f t="shared" si="14"/>
        <v>47.72566666666667</v>
      </c>
      <c r="J99" s="167">
        <f t="shared" si="14"/>
        <v>202.43466666666666</v>
      </c>
      <c r="K99" s="167">
        <f t="shared" si="14"/>
        <v>3.1398333333333337</v>
      </c>
      <c r="L99" s="167">
        <f t="shared" si="14"/>
        <v>640.0255</v>
      </c>
      <c r="M99" s="167">
        <f t="shared" si="14"/>
        <v>743.5168333333334</v>
      </c>
      <c r="N99" s="167">
        <f t="shared" si="14"/>
        <v>208.3175</v>
      </c>
      <c r="O99" s="167">
        <f t="shared" si="14"/>
        <v>17.090333333333334</v>
      </c>
      <c r="P99" s="107"/>
    </row>
    <row r="100" spans="1:15" ht="157.5" customHeight="1">
      <c r="A100" s="5"/>
      <c r="B100" s="1"/>
      <c r="C100" s="5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</row>
    <row r="101" spans="1:15" ht="15">
      <c r="A101" s="5"/>
      <c r="B101" s="1"/>
      <c r="C101" s="5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</row>
    <row r="102" spans="1:15" ht="15">
      <c r="A102" s="5"/>
      <c r="B102" s="1"/>
      <c r="C102" s="5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</row>
    <row r="103" spans="1:15" ht="14.25">
      <c r="A103" s="7"/>
      <c r="B103" s="2"/>
      <c r="C103" s="5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3.75" customHeight="1">
      <c r="A104" s="7"/>
      <c r="B104" s="2"/>
      <c r="C104" s="5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25">
      <c r="A105" s="7"/>
      <c r="B105" s="2"/>
      <c r="C105" s="5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5" customHeight="1">
      <c r="A106" s="7"/>
      <c r="B106" s="2"/>
      <c r="C106" s="5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35.25" customHeight="1">
      <c r="A107" s="207" t="s">
        <v>113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</row>
    <row r="108" spans="1:15" ht="15">
      <c r="A108" s="7"/>
      <c r="B108" s="2"/>
      <c r="C108" s="5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43"/>
    </row>
    <row r="109" spans="1:15" ht="14.25">
      <c r="A109" s="10" t="s">
        <v>0</v>
      </c>
      <c r="B109" s="9" t="s">
        <v>1</v>
      </c>
      <c r="C109" s="10" t="s">
        <v>2</v>
      </c>
      <c r="D109" s="208" t="s">
        <v>3</v>
      </c>
      <c r="E109" s="209"/>
      <c r="F109" s="210"/>
      <c r="G109" s="10" t="s">
        <v>4</v>
      </c>
      <c r="H109" s="45" t="s">
        <v>5</v>
      </c>
      <c r="I109" s="46"/>
      <c r="J109" s="46"/>
      <c r="K109" s="47"/>
      <c r="L109" s="208" t="s">
        <v>6</v>
      </c>
      <c r="M109" s="209"/>
      <c r="N109" s="209"/>
      <c r="O109" s="210"/>
    </row>
    <row r="110" spans="1:15" ht="18.75">
      <c r="A110" s="13" t="s">
        <v>7</v>
      </c>
      <c r="B110" s="14"/>
      <c r="C110" s="13"/>
      <c r="D110" s="13" t="s">
        <v>8</v>
      </c>
      <c r="E110" s="13" t="s">
        <v>9</v>
      </c>
      <c r="F110" s="13" t="s">
        <v>10</v>
      </c>
      <c r="G110" s="13" t="s">
        <v>11</v>
      </c>
      <c r="H110" s="15" t="s">
        <v>68</v>
      </c>
      <c r="I110" s="15" t="s">
        <v>12</v>
      </c>
      <c r="J110" s="15" t="s">
        <v>13</v>
      </c>
      <c r="K110" s="15" t="s">
        <v>14</v>
      </c>
      <c r="L110" s="16" t="s">
        <v>15</v>
      </c>
      <c r="M110" s="16" t="s">
        <v>16</v>
      </c>
      <c r="N110" s="16" t="s">
        <v>17</v>
      </c>
      <c r="O110" s="16" t="s">
        <v>18</v>
      </c>
    </row>
    <row r="111" spans="1:15" ht="14.25">
      <c r="A111" s="15">
        <v>1</v>
      </c>
      <c r="B111" s="11">
        <v>2</v>
      </c>
      <c r="C111" s="12">
        <v>3</v>
      </c>
      <c r="D111" s="11">
        <v>4</v>
      </c>
      <c r="E111" s="11">
        <v>5</v>
      </c>
      <c r="F111" s="11">
        <v>6</v>
      </c>
      <c r="G111" s="11">
        <v>7</v>
      </c>
      <c r="H111" s="15">
        <v>8</v>
      </c>
      <c r="I111" s="15">
        <v>9</v>
      </c>
      <c r="J111" s="15">
        <v>10</v>
      </c>
      <c r="K111" s="15">
        <v>11</v>
      </c>
      <c r="L111" s="16">
        <v>12</v>
      </c>
      <c r="M111" s="16">
        <v>13</v>
      </c>
      <c r="N111" s="16">
        <v>14</v>
      </c>
      <c r="O111" s="16">
        <v>15</v>
      </c>
    </row>
    <row r="112" spans="1:15" ht="28.5" customHeight="1">
      <c r="A112" s="20"/>
      <c r="B112" s="21" t="s">
        <v>42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5">
      <c r="A113" s="133" t="s">
        <v>19</v>
      </c>
      <c r="B113" s="133"/>
      <c r="C113" s="20"/>
      <c r="D113" s="211" t="s">
        <v>27</v>
      </c>
      <c r="E113" s="211"/>
      <c r="F113" s="19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32.25" customHeight="1">
      <c r="A114" s="219" t="s">
        <v>62</v>
      </c>
      <c r="B114" s="2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4.25">
      <c r="A115" s="109">
        <v>161</v>
      </c>
      <c r="B115" s="131" t="s">
        <v>88</v>
      </c>
      <c r="C115" s="132">
        <v>170</v>
      </c>
      <c r="D115" s="168">
        <f>8.1*170/200</f>
        <v>6.885</v>
      </c>
      <c r="E115" s="169">
        <f>12.83*170/200</f>
        <v>10.9055</v>
      </c>
      <c r="F115" s="169">
        <f>36.8*170/200</f>
        <v>31.279999999999994</v>
      </c>
      <c r="G115" s="169">
        <f>295.7*170/200</f>
        <v>251.345</v>
      </c>
      <c r="H115" s="169">
        <f>0.17*170/200</f>
        <v>0.14450000000000002</v>
      </c>
      <c r="I115" s="169">
        <f>0.9*170/200</f>
        <v>0.765</v>
      </c>
      <c r="J115" s="169">
        <f>53.4*170/200</f>
        <v>45.39</v>
      </c>
      <c r="K115" s="169">
        <f>0.7*170/200</f>
        <v>0.595</v>
      </c>
      <c r="L115" s="169">
        <f>145*170/200</f>
        <v>123.25</v>
      </c>
      <c r="M115" s="169">
        <f>229.3*170/200</f>
        <v>194.905</v>
      </c>
      <c r="N115" s="169">
        <f>69.2*170/200</f>
        <v>58.82</v>
      </c>
      <c r="O115" s="169">
        <f>1.6*170/200</f>
        <v>1.36</v>
      </c>
    </row>
    <row r="116" spans="1:15" ht="14.25">
      <c r="A116" s="39"/>
      <c r="B116" s="28" t="s">
        <v>21</v>
      </c>
      <c r="C116" s="132">
        <v>20</v>
      </c>
      <c r="D116" s="141">
        <f>2.02*20/30</f>
        <v>1.3466666666666667</v>
      </c>
      <c r="E116" s="141">
        <f>0.4*20/30</f>
        <v>0.26666666666666666</v>
      </c>
      <c r="F116" s="141">
        <f>12.1*20/30</f>
        <v>8.066666666666666</v>
      </c>
      <c r="G116" s="141">
        <f>65*20/30</f>
        <v>43.333333333333336</v>
      </c>
      <c r="H116" s="110">
        <f>0.05*20/30</f>
        <v>0.03333333333333333</v>
      </c>
      <c r="I116" s="110">
        <v>0</v>
      </c>
      <c r="J116" s="110">
        <v>0</v>
      </c>
      <c r="K116" s="110">
        <f>0.45*20/30</f>
        <v>0.3</v>
      </c>
      <c r="L116" s="110">
        <f>7.5*20/30</f>
        <v>5</v>
      </c>
      <c r="M116" s="110">
        <f>24.68*20/30</f>
        <v>16.453333333333333</v>
      </c>
      <c r="N116" s="110">
        <f>5.32*20/30</f>
        <v>3.546666666666667</v>
      </c>
      <c r="O116" s="110">
        <f>0.45*20/30</f>
        <v>0.3</v>
      </c>
    </row>
    <row r="117" spans="1:15" ht="14.25">
      <c r="A117" s="29">
        <v>685</v>
      </c>
      <c r="B117" s="131" t="s">
        <v>20</v>
      </c>
      <c r="C117" s="132">
        <v>150</v>
      </c>
      <c r="D117" s="141">
        <f>0.2*150/180</f>
        <v>0.16666666666666666</v>
      </c>
      <c r="E117" s="141">
        <v>0</v>
      </c>
      <c r="F117" s="141">
        <f>15*150/180</f>
        <v>12.5</v>
      </c>
      <c r="G117" s="141">
        <f>58*150/180</f>
        <v>48.333333333333336</v>
      </c>
      <c r="H117" s="110">
        <v>0</v>
      </c>
      <c r="I117" s="110">
        <f>2.2*150/180</f>
        <v>1.8333333333333333</v>
      </c>
      <c r="J117" s="110">
        <v>0</v>
      </c>
      <c r="K117" s="110">
        <v>0</v>
      </c>
      <c r="L117" s="110">
        <f>87*150/180</f>
        <v>72.5</v>
      </c>
      <c r="M117" s="110">
        <f>68*150/180</f>
        <v>56.666666666666664</v>
      </c>
      <c r="N117" s="110">
        <f>14*150/180</f>
        <v>11.666666666666666</v>
      </c>
      <c r="O117" s="110">
        <f>0.8*150/180</f>
        <v>0.6666666666666666</v>
      </c>
    </row>
    <row r="118" spans="1:15" ht="15">
      <c r="A118" s="17"/>
      <c r="B118" s="31" t="s">
        <v>28</v>
      </c>
      <c r="C118" s="17"/>
      <c r="D118" s="40">
        <f aca="true" t="shared" si="15" ref="D118:O118">SUM(D115:D117)</f>
        <v>8.398333333333332</v>
      </c>
      <c r="E118" s="40">
        <f t="shared" si="15"/>
        <v>11.172166666666667</v>
      </c>
      <c r="F118" s="40">
        <f t="shared" si="15"/>
        <v>51.846666666666664</v>
      </c>
      <c r="G118" s="40">
        <f t="shared" si="15"/>
        <v>343.01166666666666</v>
      </c>
      <c r="H118" s="40">
        <f t="shared" si="15"/>
        <v>0.17783333333333334</v>
      </c>
      <c r="I118" s="40">
        <f t="shared" si="15"/>
        <v>2.598333333333333</v>
      </c>
      <c r="J118" s="40">
        <f t="shared" si="15"/>
        <v>45.39</v>
      </c>
      <c r="K118" s="40">
        <f t="shared" si="15"/>
        <v>0.895</v>
      </c>
      <c r="L118" s="40">
        <f t="shared" si="15"/>
        <v>200.75</v>
      </c>
      <c r="M118" s="40">
        <f t="shared" si="15"/>
        <v>268.02500000000003</v>
      </c>
      <c r="N118" s="40">
        <f t="shared" si="15"/>
        <v>74.03333333333333</v>
      </c>
      <c r="O118" s="40">
        <f t="shared" si="15"/>
        <v>2.3266666666666667</v>
      </c>
    </row>
    <row r="119" spans="1:15" ht="14.25" customHeight="1">
      <c r="A119" s="199" t="s">
        <v>114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1"/>
    </row>
    <row r="120" spans="1:15" ht="14.25">
      <c r="A120" s="26"/>
      <c r="B120" s="27" t="s">
        <v>116</v>
      </c>
      <c r="C120" s="29">
        <v>180</v>
      </c>
      <c r="D120" s="183">
        <f>0.95*180/200</f>
        <v>0.855</v>
      </c>
      <c r="E120" s="183">
        <v>0</v>
      </c>
      <c r="F120" s="183">
        <f>17.29*180/200</f>
        <v>15.561</v>
      </c>
      <c r="G120" s="183">
        <f>72.96*180/200</f>
        <v>65.664</v>
      </c>
      <c r="H120" s="183">
        <f>0.019*180/200</f>
        <v>0.0171</v>
      </c>
      <c r="I120" s="183">
        <f>3.8*180/200</f>
        <v>3.42</v>
      </c>
      <c r="J120" s="183">
        <f>0.16*180/200</f>
        <v>0.14400000000000002</v>
      </c>
      <c r="K120" s="183">
        <v>0</v>
      </c>
      <c r="L120" s="183">
        <f>13.3*180/200</f>
        <v>11.97</v>
      </c>
      <c r="M120" s="183">
        <v>0</v>
      </c>
      <c r="N120" s="183">
        <f>2.66*180/200</f>
        <v>2.394</v>
      </c>
      <c r="O120" s="183">
        <v>0</v>
      </c>
    </row>
    <row r="121" spans="1:15" ht="15">
      <c r="A121" s="17"/>
      <c r="B121" s="31" t="s">
        <v>28</v>
      </c>
      <c r="C121" s="17"/>
      <c r="D121" s="147">
        <f aca="true" t="shared" si="16" ref="D121:O121">SUM(D120)</f>
        <v>0.855</v>
      </c>
      <c r="E121" s="147">
        <f t="shared" si="16"/>
        <v>0</v>
      </c>
      <c r="F121" s="147">
        <f t="shared" si="16"/>
        <v>15.561</v>
      </c>
      <c r="G121" s="147">
        <f t="shared" si="16"/>
        <v>65.664</v>
      </c>
      <c r="H121" s="147">
        <f t="shared" si="16"/>
        <v>0.0171</v>
      </c>
      <c r="I121" s="147">
        <f t="shared" si="16"/>
        <v>3.42</v>
      </c>
      <c r="J121" s="147">
        <f t="shared" si="16"/>
        <v>0.14400000000000002</v>
      </c>
      <c r="K121" s="147">
        <f t="shared" si="16"/>
        <v>0</v>
      </c>
      <c r="L121" s="147">
        <f t="shared" si="16"/>
        <v>11.97</v>
      </c>
      <c r="M121" s="147">
        <f t="shared" si="16"/>
        <v>0</v>
      </c>
      <c r="N121" s="147">
        <f t="shared" si="16"/>
        <v>2.394</v>
      </c>
      <c r="O121" s="147">
        <f t="shared" si="16"/>
        <v>0</v>
      </c>
    </row>
    <row r="122" spans="1:15" ht="15">
      <c r="A122" s="7"/>
      <c r="B122" s="2"/>
      <c r="C122" s="7"/>
      <c r="D122" s="35" t="s">
        <v>23</v>
      </c>
      <c r="E122" s="35"/>
      <c r="F122" s="35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4.25">
      <c r="A123" s="29">
        <v>70</v>
      </c>
      <c r="B123" s="23" t="s">
        <v>72</v>
      </c>
      <c r="C123" s="25">
        <v>40</v>
      </c>
      <c r="D123" s="125">
        <f>2.4*40/60</f>
        <v>1.6</v>
      </c>
      <c r="E123" s="125">
        <f>0.4*40/60</f>
        <v>0.26666666666666666</v>
      </c>
      <c r="F123" s="125">
        <f>11*40/60</f>
        <v>7.333333333333333</v>
      </c>
      <c r="G123" s="125">
        <f>50*40/60</f>
        <v>33.333333333333336</v>
      </c>
      <c r="H123" s="125">
        <f>46.6*40/60</f>
        <v>31.066666666666666</v>
      </c>
      <c r="I123" s="125">
        <f>0.1*40/60</f>
        <v>0.06666666666666667</v>
      </c>
      <c r="J123" s="127">
        <f>0.04*40/60</f>
        <v>0.02666666666666667</v>
      </c>
      <c r="K123" s="127">
        <v>0.34</v>
      </c>
      <c r="L123" s="127">
        <f>76.66*40/60</f>
        <v>51.10666666666666</v>
      </c>
      <c r="M123" s="127">
        <f>140*40/60</f>
        <v>93.33333333333333</v>
      </c>
      <c r="N123" s="127">
        <f>46.66*40/60</f>
        <v>31.106666666666666</v>
      </c>
      <c r="O123" s="127">
        <f>2*40/60</f>
        <v>1.3333333333333333</v>
      </c>
    </row>
    <row r="124" spans="1:15" ht="14.25">
      <c r="A124" s="26">
        <v>110</v>
      </c>
      <c r="B124" s="27" t="s">
        <v>56</v>
      </c>
      <c r="C124" s="54" t="s">
        <v>107</v>
      </c>
      <c r="D124" s="158">
        <f>2.05*150/200</f>
        <v>1.5375</v>
      </c>
      <c r="E124" s="158">
        <f>6.7*150/200</f>
        <v>5.025</v>
      </c>
      <c r="F124" s="158">
        <f>15.2*150/200</f>
        <v>11.4</v>
      </c>
      <c r="G124" s="158">
        <f>130*150/200</f>
        <v>97.5</v>
      </c>
      <c r="H124" s="159">
        <f>8.9*150/200</f>
        <v>6.675</v>
      </c>
      <c r="I124" s="159">
        <f>8.2*150/200</f>
        <v>6.15</v>
      </c>
      <c r="J124" s="159">
        <f>10.14*150/200</f>
        <v>7.605</v>
      </c>
      <c r="K124" s="159">
        <f>0.3*150/200</f>
        <v>0.225</v>
      </c>
      <c r="L124" s="159">
        <f>32.4*150/200</f>
        <v>24.3</v>
      </c>
      <c r="M124" s="159">
        <f>74*150/200</f>
        <v>55.5</v>
      </c>
      <c r="N124" s="159">
        <f>10*150/200</f>
        <v>7.5</v>
      </c>
      <c r="O124" s="160">
        <f>0.3*150/200</f>
        <v>0.225</v>
      </c>
    </row>
    <row r="125" spans="1:15" ht="14.25">
      <c r="A125" s="29" t="s">
        <v>47</v>
      </c>
      <c r="B125" s="28" t="s">
        <v>57</v>
      </c>
      <c r="C125" s="29" t="s">
        <v>110</v>
      </c>
      <c r="D125" s="175">
        <f>17.4*80/110</f>
        <v>12.654545454545454</v>
      </c>
      <c r="E125" s="175">
        <f>23.24*80/110</f>
        <v>16.90181818181818</v>
      </c>
      <c r="F125" s="175">
        <f>21.8*80/110</f>
        <v>15.854545454545455</v>
      </c>
      <c r="G125" s="175">
        <f>366*80/110</f>
        <v>266.1818181818182</v>
      </c>
      <c r="H125" s="176">
        <f>0.02*80/110</f>
        <v>0.014545454545454545</v>
      </c>
      <c r="I125" s="176">
        <f>7.6*80/110</f>
        <v>5.527272727272727</v>
      </c>
      <c r="J125" s="176">
        <f>174.3*80/110</f>
        <v>126.76363636363637</v>
      </c>
      <c r="K125" s="176">
        <f>4.18*80/110</f>
        <v>3.0399999999999996</v>
      </c>
      <c r="L125" s="176">
        <f>26.54*80/110</f>
        <v>19.30181818181818</v>
      </c>
      <c r="M125" s="176">
        <f>204.6*80/110</f>
        <v>148.8</v>
      </c>
      <c r="N125" s="176">
        <f>38.94*80/110</f>
        <v>28.319999999999997</v>
      </c>
      <c r="O125" s="176">
        <f>3.02*80/110</f>
        <v>2.1963636363636363</v>
      </c>
    </row>
    <row r="126" spans="1:15" ht="14.25">
      <c r="A126" s="29">
        <v>514</v>
      </c>
      <c r="B126" s="124" t="s">
        <v>33</v>
      </c>
      <c r="C126" s="29">
        <v>120</v>
      </c>
      <c r="D126" s="155">
        <f>14.1*120/150</f>
        <v>11.28</v>
      </c>
      <c r="E126" s="155">
        <f>6.9*120/150</f>
        <v>5.52</v>
      </c>
      <c r="F126" s="155">
        <f>33.4*120/150</f>
        <v>26.72</v>
      </c>
      <c r="G126" s="155">
        <f>255*120/150</f>
        <v>204</v>
      </c>
      <c r="H126" s="156">
        <v>0</v>
      </c>
      <c r="I126" s="156">
        <f>2.8*120/150</f>
        <v>2.24</v>
      </c>
      <c r="J126" s="156">
        <v>0</v>
      </c>
      <c r="K126" s="156">
        <f>0.2*120/150</f>
        <v>0.16</v>
      </c>
      <c r="L126" s="156">
        <f>18*120/150</f>
        <v>14.4</v>
      </c>
      <c r="M126" s="156">
        <f>10*120/150</f>
        <v>8</v>
      </c>
      <c r="N126" s="156">
        <f>4*120/150</f>
        <v>3.2</v>
      </c>
      <c r="O126" s="156">
        <f>0.6*120/150</f>
        <v>0.48</v>
      </c>
    </row>
    <row r="127" spans="1:15" ht="14.25">
      <c r="A127" s="29">
        <v>685</v>
      </c>
      <c r="B127" s="28" t="s">
        <v>20</v>
      </c>
      <c r="C127" s="29">
        <v>150</v>
      </c>
      <c r="D127" s="155">
        <f>0.2*150/180</f>
        <v>0.16666666666666666</v>
      </c>
      <c r="E127" s="155">
        <v>0</v>
      </c>
      <c r="F127" s="155">
        <f>15*150/180</f>
        <v>12.5</v>
      </c>
      <c r="G127" s="155">
        <f>58*150/180</f>
        <v>48.333333333333336</v>
      </c>
      <c r="H127" s="156">
        <v>0</v>
      </c>
      <c r="I127" s="156">
        <f>2.2*150/180</f>
        <v>1.8333333333333333</v>
      </c>
      <c r="J127" s="156">
        <v>0</v>
      </c>
      <c r="K127" s="156">
        <v>0</v>
      </c>
      <c r="L127" s="156">
        <f>87*150/180</f>
        <v>72.5</v>
      </c>
      <c r="M127" s="156">
        <f>68*150/180</f>
        <v>56.666666666666664</v>
      </c>
      <c r="N127" s="156">
        <f>14*150/180</f>
        <v>11.666666666666666</v>
      </c>
      <c r="O127" s="156">
        <f>0.8*150/180</f>
        <v>0.6666666666666666</v>
      </c>
    </row>
    <row r="128" spans="1:15" ht="14.25">
      <c r="A128" s="29"/>
      <c r="B128" s="28" t="s">
        <v>21</v>
      </c>
      <c r="C128" s="29" t="s">
        <v>22</v>
      </c>
      <c r="D128" s="155">
        <v>2.02</v>
      </c>
      <c r="E128" s="155">
        <v>0.4</v>
      </c>
      <c r="F128" s="155">
        <v>12.1</v>
      </c>
      <c r="G128" s="155">
        <v>65</v>
      </c>
      <c r="H128" s="156">
        <v>0.05</v>
      </c>
      <c r="I128" s="156">
        <v>0</v>
      </c>
      <c r="J128" s="156">
        <v>0</v>
      </c>
      <c r="K128" s="156">
        <v>0.45</v>
      </c>
      <c r="L128" s="156">
        <v>7.5</v>
      </c>
      <c r="M128" s="156">
        <v>24.68</v>
      </c>
      <c r="N128" s="156">
        <v>5.32</v>
      </c>
      <c r="O128" s="156">
        <v>0.45</v>
      </c>
    </row>
    <row r="129" spans="1:15" ht="15">
      <c r="A129" s="29"/>
      <c r="B129" s="28" t="s">
        <v>28</v>
      </c>
      <c r="C129" s="30"/>
      <c r="D129" s="135">
        <f aca="true" t="shared" si="17" ref="D129:O129">SUM(D123:D128)</f>
        <v>29.25871212121212</v>
      </c>
      <c r="E129" s="135">
        <f t="shared" si="17"/>
        <v>28.113484848484845</v>
      </c>
      <c r="F129" s="135">
        <f t="shared" si="17"/>
        <v>85.90787878787879</v>
      </c>
      <c r="G129" s="135">
        <f t="shared" si="17"/>
        <v>714.3484848484849</v>
      </c>
      <c r="H129" s="135">
        <f t="shared" si="17"/>
        <v>37.80621212121212</v>
      </c>
      <c r="I129" s="135">
        <f t="shared" si="17"/>
        <v>15.817272727272728</v>
      </c>
      <c r="J129" s="135">
        <f t="shared" si="17"/>
        <v>134.39530303030304</v>
      </c>
      <c r="K129" s="135">
        <f t="shared" si="17"/>
        <v>4.215</v>
      </c>
      <c r="L129" s="135">
        <f t="shared" si="17"/>
        <v>189.10848484848486</v>
      </c>
      <c r="M129" s="135">
        <f t="shared" si="17"/>
        <v>386.98</v>
      </c>
      <c r="N129" s="135">
        <f t="shared" si="17"/>
        <v>87.11333333333334</v>
      </c>
      <c r="O129" s="135">
        <f t="shared" si="17"/>
        <v>5.3513636363636365</v>
      </c>
    </row>
    <row r="130" spans="1:15" ht="15" customHeight="1">
      <c r="A130" s="205" t="s">
        <v>82</v>
      </c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1"/>
    </row>
    <row r="131" spans="1:15" ht="14.25">
      <c r="A131" s="29">
        <v>390</v>
      </c>
      <c r="B131" s="28" t="s">
        <v>89</v>
      </c>
      <c r="C131" s="30" t="s">
        <v>58</v>
      </c>
      <c r="D131" s="100">
        <f>14.8*60/80</f>
        <v>11.1</v>
      </c>
      <c r="E131" s="100">
        <f>8.8*60/80</f>
        <v>6.6</v>
      </c>
      <c r="F131" s="100">
        <f>15.3*60/80</f>
        <v>11.475</v>
      </c>
      <c r="G131" s="100">
        <f>196*60/80</f>
        <v>147</v>
      </c>
      <c r="H131" s="101">
        <f>0.07*60/80</f>
        <v>0.052500000000000005</v>
      </c>
      <c r="I131" s="101">
        <f>0.73*60/80</f>
        <v>0.5475</v>
      </c>
      <c r="J131" s="102">
        <f>40*60/80</f>
        <v>30</v>
      </c>
      <c r="K131" s="102">
        <f>17*60/80</f>
        <v>12.75</v>
      </c>
      <c r="L131" s="102">
        <f>84.1*60/80</f>
        <v>63.075</v>
      </c>
      <c r="M131" s="102">
        <f>121.7*60/80</f>
        <v>91.275</v>
      </c>
      <c r="N131" s="102">
        <f>32.2*60/80</f>
        <v>24.150000000000002</v>
      </c>
      <c r="O131" s="102">
        <f>0.64*60/80</f>
        <v>0.48</v>
      </c>
    </row>
    <row r="132" spans="1:15" ht="14.25">
      <c r="A132" s="29"/>
      <c r="B132" s="28" t="s">
        <v>21</v>
      </c>
      <c r="C132" s="30" t="s">
        <v>25</v>
      </c>
      <c r="D132" s="141">
        <f>2.02*20/30</f>
        <v>1.3466666666666667</v>
      </c>
      <c r="E132" s="141">
        <f>0.4*20/30</f>
        <v>0.26666666666666666</v>
      </c>
      <c r="F132" s="141">
        <f>12.1*20/30</f>
        <v>8.066666666666666</v>
      </c>
      <c r="G132" s="141">
        <f>65*20/30</f>
        <v>43.333333333333336</v>
      </c>
      <c r="H132" s="110">
        <f>0.05*20/30</f>
        <v>0.03333333333333333</v>
      </c>
      <c r="I132" s="110">
        <v>0</v>
      </c>
      <c r="J132" s="110">
        <v>0</v>
      </c>
      <c r="K132" s="110">
        <f>0.45*20/30</f>
        <v>0.3</v>
      </c>
      <c r="L132" s="110">
        <f>7.5*20/30</f>
        <v>5</v>
      </c>
      <c r="M132" s="110">
        <f>24.68*20/30</f>
        <v>16.453333333333333</v>
      </c>
      <c r="N132" s="110">
        <f>5.32*20/30</f>
        <v>3.546666666666667</v>
      </c>
      <c r="O132" s="110">
        <f>0.45*20/30</f>
        <v>0.3</v>
      </c>
    </row>
    <row r="133" spans="1:15" ht="14.25">
      <c r="A133" s="29">
        <v>685</v>
      </c>
      <c r="B133" s="28" t="s">
        <v>20</v>
      </c>
      <c r="C133" s="30" t="s">
        <v>97</v>
      </c>
      <c r="D133" s="141">
        <f>0.2*150/180</f>
        <v>0.16666666666666666</v>
      </c>
      <c r="E133" s="141">
        <v>0</v>
      </c>
      <c r="F133" s="141">
        <f>15*150/180</f>
        <v>12.5</v>
      </c>
      <c r="G133" s="141">
        <f>58*150/180</f>
        <v>48.333333333333336</v>
      </c>
      <c r="H133" s="110">
        <v>0</v>
      </c>
      <c r="I133" s="110">
        <f>2.2*150/180</f>
        <v>1.8333333333333333</v>
      </c>
      <c r="J133" s="110">
        <v>0</v>
      </c>
      <c r="K133" s="110">
        <v>0</v>
      </c>
      <c r="L133" s="110">
        <f>87*150/180</f>
        <v>72.5</v>
      </c>
      <c r="M133" s="110">
        <f>68*150/180</f>
        <v>56.666666666666664</v>
      </c>
      <c r="N133" s="110">
        <f>14*150/180</f>
        <v>11.666666666666666</v>
      </c>
      <c r="O133" s="110">
        <f>0.8*150/180</f>
        <v>0.6666666666666666</v>
      </c>
    </row>
    <row r="134" spans="1:15" ht="15">
      <c r="A134" s="29"/>
      <c r="B134" s="28" t="s">
        <v>28</v>
      </c>
      <c r="C134" s="30"/>
      <c r="D134" s="64">
        <f>SUM(D131:D133)</f>
        <v>12.613333333333332</v>
      </c>
      <c r="E134" s="64">
        <f aca="true" t="shared" si="18" ref="E134:N134">SUM(E131:E133)</f>
        <v>6.866666666666666</v>
      </c>
      <c r="F134" s="64">
        <f t="shared" si="18"/>
        <v>32.041666666666664</v>
      </c>
      <c r="G134" s="64">
        <f t="shared" si="18"/>
        <v>238.66666666666669</v>
      </c>
      <c r="H134" s="64">
        <f t="shared" si="18"/>
        <v>0.08583333333333334</v>
      </c>
      <c r="I134" s="64">
        <f t="shared" si="18"/>
        <v>2.3808333333333334</v>
      </c>
      <c r="J134" s="64">
        <f t="shared" si="18"/>
        <v>30</v>
      </c>
      <c r="K134" s="64">
        <f t="shared" si="18"/>
        <v>13.05</v>
      </c>
      <c r="L134" s="64">
        <f t="shared" si="18"/>
        <v>140.575</v>
      </c>
      <c r="M134" s="64">
        <f t="shared" si="18"/>
        <v>164.395</v>
      </c>
      <c r="N134" s="64">
        <f t="shared" si="18"/>
        <v>39.36333333333334</v>
      </c>
      <c r="O134" s="64">
        <f>SUM(O131:O133)</f>
        <v>1.4466666666666668</v>
      </c>
    </row>
    <row r="135" spans="1:15" ht="15">
      <c r="A135" s="17"/>
      <c r="B135" s="68" t="s">
        <v>29</v>
      </c>
      <c r="C135" s="40"/>
      <c r="D135" s="32">
        <f>D118+D129+D134+D121</f>
        <v>51.12537878787878</v>
      </c>
      <c r="E135" s="32">
        <f aca="true" t="shared" si="19" ref="E135:O135">E118+E129+E134+E121</f>
        <v>46.15231818181818</v>
      </c>
      <c r="F135" s="32">
        <f t="shared" si="19"/>
        <v>185.35721212121211</v>
      </c>
      <c r="G135" s="32">
        <f t="shared" si="19"/>
        <v>1361.6908181818183</v>
      </c>
      <c r="H135" s="32">
        <f t="shared" si="19"/>
        <v>38.086978787878785</v>
      </c>
      <c r="I135" s="32">
        <f t="shared" si="19"/>
        <v>24.216439393939396</v>
      </c>
      <c r="J135" s="32">
        <f t="shared" si="19"/>
        <v>209.92930303030306</v>
      </c>
      <c r="K135" s="32">
        <f t="shared" si="19"/>
        <v>18.16</v>
      </c>
      <c r="L135" s="32">
        <f t="shared" si="19"/>
        <v>542.4034848484848</v>
      </c>
      <c r="M135" s="32">
        <f t="shared" si="19"/>
        <v>819.4000000000001</v>
      </c>
      <c r="N135" s="32">
        <f t="shared" si="19"/>
        <v>202.90400000000002</v>
      </c>
      <c r="O135" s="32">
        <f t="shared" si="19"/>
        <v>9.12469696969697</v>
      </c>
    </row>
    <row r="136" spans="1:16" ht="15">
      <c r="A136" s="20"/>
      <c r="B136" s="69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111"/>
    </row>
    <row r="137" spans="1:16" ht="133.5" customHeight="1">
      <c r="A137" s="20"/>
      <c r="B137" s="70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111"/>
    </row>
    <row r="138" spans="1:16" ht="52.5" customHeight="1">
      <c r="A138" s="7"/>
      <c r="B138" s="2"/>
      <c r="C138" s="58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11"/>
    </row>
    <row r="139" spans="1:16" ht="28.5" customHeight="1">
      <c r="A139" s="7"/>
      <c r="B139" s="2"/>
      <c r="C139" s="58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111"/>
    </row>
    <row r="140" spans="1:16" ht="15">
      <c r="A140" s="7"/>
      <c r="B140" s="2"/>
      <c r="C140" s="58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111"/>
    </row>
    <row r="141" spans="1:15" ht="15" customHeight="1">
      <c r="A141" s="7"/>
      <c r="B141" s="2"/>
      <c r="C141" s="58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1:15" ht="36.75" customHeight="1">
      <c r="A142" s="207" t="s">
        <v>113</v>
      </c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</row>
    <row r="143" spans="1:15" ht="15">
      <c r="A143" s="7"/>
      <c r="B143" s="2"/>
      <c r="C143" s="58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1:15" ht="14.25">
      <c r="A144" s="10" t="s">
        <v>0</v>
      </c>
      <c r="B144" s="9" t="s">
        <v>1</v>
      </c>
      <c r="C144" s="10" t="s">
        <v>2</v>
      </c>
      <c r="D144" s="208" t="s">
        <v>3</v>
      </c>
      <c r="E144" s="209"/>
      <c r="F144" s="210"/>
      <c r="G144" s="10" t="s">
        <v>4</v>
      </c>
      <c r="H144" s="45" t="s">
        <v>5</v>
      </c>
      <c r="I144" s="46"/>
      <c r="J144" s="46"/>
      <c r="K144" s="47"/>
      <c r="L144" s="208" t="s">
        <v>6</v>
      </c>
      <c r="M144" s="209"/>
      <c r="N144" s="209"/>
      <c r="O144" s="210"/>
    </row>
    <row r="145" spans="1:15" ht="18.75">
      <c r="A145" s="13" t="s">
        <v>7</v>
      </c>
      <c r="B145" s="14"/>
      <c r="C145" s="13"/>
      <c r="D145" s="13" t="s">
        <v>8</v>
      </c>
      <c r="E145" s="13" t="s">
        <v>9</v>
      </c>
      <c r="F145" s="13" t="s">
        <v>10</v>
      </c>
      <c r="G145" s="13" t="s">
        <v>11</v>
      </c>
      <c r="H145" s="15" t="s">
        <v>68</v>
      </c>
      <c r="I145" s="15" t="s">
        <v>12</v>
      </c>
      <c r="J145" s="15" t="s">
        <v>13</v>
      </c>
      <c r="K145" s="15" t="s">
        <v>14</v>
      </c>
      <c r="L145" s="16" t="s">
        <v>15</v>
      </c>
      <c r="M145" s="16" t="s">
        <v>16</v>
      </c>
      <c r="N145" s="16" t="s">
        <v>17</v>
      </c>
      <c r="O145" s="16" t="s">
        <v>18</v>
      </c>
    </row>
    <row r="146" spans="1:15" ht="14.25">
      <c r="A146" s="15">
        <v>1</v>
      </c>
      <c r="B146" s="11">
        <v>2</v>
      </c>
      <c r="C146" s="12">
        <v>3</v>
      </c>
      <c r="D146" s="11">
        <v>4</v>
      </c>
      <c r="E146" s="11">
        <v>5</v>
      </c>
      <c r="F146" s="11">
        <v>6</v>
      </c>
      <c r="G146" s="11">
        <v>7</v>
      </c>
      <c r="H146" s="15">
        <v>8</v>
      </c>
      <c r="I146" s="15">
        <v>9</v>
      </c>
      <c r="J146" s="15">
        <v>10</v>
      </c>
      <c r="K146" s="15">
        <v>11</v>
      </c>
      <c r="L146" s="16">
        <v>12</v>
      </c>
      <c r="M146" s="16">
        <v>13</v>
      </c>
      <c r="N146" s="16">
        <v>14</v>
      </c>
      <c r="O146" s="16">
        <v>15</v>
      </c>
    </row>
    <row r="147" spans="1:15" ht="15">
      <c r="A147" s="20"/>
      <c r="B147" s="21" t="s">
        <v>43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5">
      <c r="A148" s="133" t="s">
        <v>19</v>
      </c>
      <c r="B148" s="133"/>
      <c r="C148" s="20"/>
      <c r="D148" s="211" t="s">
        <v>26</v>
      </c>
      <c r="E148" s="211"/>
      <c r="F148" s="19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32.25" customHeight="1">
      <c r="A149" s="219" t="s">
        <v>62</v>
      </c>
      <c r="B149" s="2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4.25">
      <c r="A150" s="29">
        <v>160</v>
      </c>
      <c r="B150" s="23" t="s">
        <v>90</v>
      </c>
      <c r="C150" s="52">
        <v>170</v>
      </c>
      <c r="D150" s="173">
        <f>5.73*170/200</f>
        <v>4.8705</v>
      </c>
      <c r="E150" s="173">
        <f>4.74*170/200</f>
        <v>4.029</v>
      </c>
      <c r="F150" s="173">
        <f>20.93*170/200</f>
        <v>17.790499999999998</v>
      </c>
      <c r="G150" s="173">
        <f>150.15*170/200</f>
        <v>127.6275</v>
      </c>
      <c r="H150" s="174">
        <f>0.06*170/200</f>
        <v>0.051</v>
      </c>
      <c r="I150" s="174">
        <f>0.73*170/200</f>
        <v>0.6204999999999999</v>
      </c>
      <c r="J150" s="174">
        <f>20.1*170/200</f>
        <v>17.085</v>
      </c>
      <c r="K150" s="174">
        <f>0.32*170/200</f>
        <v>0.272</v>
      </c>
      <c r="L150" s="174">
        <f>148.48*170/200</f>
        <v>126.208</v>
      </c>
      <c r="M150" s="174">
        <f>126.9*170/200</f>
        <v>107.865</v>
      </c>
      <c r="N150" s="177">
        <f>20.14*170/200</f>
        <v>17.119</v>
      </c>
      <c r="O150" s="110">
        <f>0.45*170/200</f>
        <v>0.3825</v>
      </c>
    </row>
    <row r="151" spans="1:15" ht="14.25">
      <c r="A151" s="29" t="s">
        <v>60</v>
      </c>
      <c r="B151" s="28" t="s">
        <v>21</v>
      </c>
      <c r="C151" s="29">
        <v>20</v>
      </c>
      <c r="D151" s="141">
        <f>2.02*20/30</f>
        <v>1.3466666666666667</v>
      </c>
      <c r="E151" s="141">
        <f>0.4*20/30</f>
        <v>0.26666666666666666</v>
      </c>
      <c r="F151" s="141">
        <f>12.1*20/30</f>
        <v>8.066666666666666</v>
      </c>
      <c r="G151" s="141">
        <f>65*20/30</f>
        <v>43.333333333333336</v>
      </c>
      <c r="H151" s="110">
        <f>0.05*20/30</f>
        <v>0.03333333333333333</v>
      </c>
      <c r="I151" s="110">
        <v>0</v>
      </c>
      <c r="J151" s="110">
        <v>0</v>
      </c>
      <c r="K151" s="110">
        <f>0.45*20/30</f>
        <v>0.3</v>
      </c>
      <c r="L151" s="110">
        <f>7.5*20/30</f>
        <v>5</v>
      </c>
      <c r="M151" s="110">
        <f>24.68*20/30</f>
        <v>16.453333333333333</v>
      </c>
      <c r="N151" s="110">
        <f>5.32*20/30</f>
        <v>3.546666666666667</v>
      </c>
      <c r="O151" s="110">
        <f>0.45*20/30</f>
        <v>0.3</v>
      </c>
    </row>
    <row r="152" spans="1:15" ht="14.25">
      <c r="A152" s="29">
        <v>686</v>
      </c>
      <c r="B152" s="28" t="s">
        <v>59</v>
      </c>
      <c r="C152" s="104">
        <v>150</v>
      </c>
      <c r="D152" s="141">
        <f>0.2*150/180</f>
        <v>0.16666666666666666</v>
      </c>
      <c r="E152" s="141">
        <v>0</v>
      </c>
      <c r="F152" s="141">
        <f>15*150/180</f>
        <v>12.5</v>
      </c>
      <c r="G152" s="141">
        <f>58*150/180</f>
        <v>48.333333333333336</v>
      </c>
      <c r="H152" s="110">
        <v>0</v>
      </c>
      <c r="I152" s="110">
        <f>2.2*150/180</f>
        <v>1.8333333333333333</v>
      </c>
      <c r="J152" s="110">
        <v>0</v>
      </c>
      <c r="K152" s="110">
        <v>0</v>
      </c>
      <c r="L152" s="110">
        <f>87*150/180</f>
        <v>72.5</v>
      </c>
      <c r="M152" s="110">
        <f>68*150/180</f>
        <v>56.666666666666664</v>
      </c>
      <c r="N152" s="110">
        <f>14*150/180</f>
        <v>11.666666666666666</v>
      </c>
      <c r="O152" s="110">
        <f>0.8*150/180</f>
        <v>0.6666666666666666</v>
      </c>
    </row>
    <row r="153" spans="1:15" ht="15">
      <c r="A153" s="17"/>
      <c r="B153" s="31" t="s">
        <v>28</v>
      </c>
      <c r="C153" s="17"/>
      <c r="D153" s="147">
        <f aca="true" t="shared" si="20" ref="D153:O153">SUM(D150:D152)</f>
        <v>6.3838333333333335</v>
      </c>
      <c r="E153" s="147">
        <f t="shared" si="20"/>
        <v>4.2956666666666665</v>
      </c>
      <c r="F153" s="147">
        <f t="shared" si="20"/>
        <v>38.357166666666664</v>
      </c>
      <c r="G153" s="147">
        <f t="shared" si="20"/>
        <v>219.29416666666668</v>
      </c>
      <c r="H153" s="147">
        <f t="shared" si="20"/>
        <v>0.08433333333333333</v>
      </c>
      <c r="I153" s="147">
        <f t="shared" si="20"/>
        <v>2.4538333333333333</v>
      </c>
      <c r="J153" s="147">
        <f t="shared" si="20"/>
        <v>17.085</v>
      </c>
      <c r="K153" s="147">
        <f t="shared" si="20"/>
        <v>0.5720000000000001</v>
      </c>
      <c r="L153" s="147">
        <f t="shared" si="20"/>
        <v>203.708</v>
      </c>
      <c r="M153" s="147">
        <f t="shared" si="20"/>
        <v>180.98499999999999</v>
      </c>
      <c r="N153" s="147">
        <f t="shared" si="20"/>
        <v>32.33233333333333</v>
      </c>
      <c r="O153" s="147">
        <f t="shared" si="20"/>
        <v>1.3491666666666666</v>
      </c>
    </row>
    <row r="154" spans="1:15" ht="15" customHeight="1">
      <c r="A154" s="199" t="s">
        <v>114</v>
      </c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1"/>
    </row>
    <row r="155" spans="1:15" ht="14.25">
      <c r="A155" s="26"/>
      <c r="B155" s="27" t="s">
        <v>115</v>
      </c>
      <c r="C155" s="29">
        <v>100</v>
      </c>
      <c r="D155" s="183">
        <v>4.35</v>
      </c>
      <c r="E155" s="183">
        <v>4.8</v>
      </c>
      <c r="F155" s="183">
        <v>6</v>
      </c>
      <c r="G155" s="183">
        <v>88.5</v>
      </c>
      <c r="H155" s="183">
        <v>0.15</v>
      </c>
      <c r="I155" s="183">
        <v>1.05</v>
      </c>
      <c r="J155" s="183">
        <v>0</v>
      </c>
      <c r="K155" s="183">
        <v>0</v>
      </c>
      <c r="L155" s="183">
        <v>180</v>
      </c>
      <c r="M155" s="183">
        <v>142.5</v>
      </c>
      <c r="N155" s="183">
        <v>21</v>
      </c>
      <c r="O155" s="183">
        <v>0.15</v>
      </c>
    </row>
    <row r="156" spans="1:15" ht="15">
      <c r="A156" s="17"/>
      <c r="B156" s="31" t="s">
        <v>28</v>
      </c>
      <c r="C156" s="17"/>
      <c r="D156" s="147">
        <f aca="true" t="shared" si="21" ref="D156:O156">SUM(D155)</f>
        <v>4.35</v>
      </c>
      <c r="E156" s="147">
        <f t="shared" si="21"/>
        <v>4.8</v>
      </c>
      <c r="F156" s="147">
        <f t="shared" si="21"/>
        <v>6</v>
      </c>
      <c r="G156" s="147">
        <f t="shared" si="21"/>
        <v>88.5</v>
      </c>
      <c r="H156" s="147">
        <f t="shared" si="21"/>
        <v>0.15</v>
      </c>
      <c r="I156" s="147">
        <f t="shared" si="21"/>
        <v>1.05</v>
      </c>
      <c r="J156" s="147">
        <f t="shared" si="21"/>
        <v>0</v>
      </c>
      <c r="K156" s="147">
        <f t="shared" si="21"/>
        <v>0</v>
      </c>
      <c r="L156" s="147">
        <f t="shared" si="21"/>
        <v>180</v>
      </c>
      <c r="M156" s="147">
        <f t="shared" si="21"/>
        <v>142.5</v>
      </c>
      <c r="N156" s="147">
        <f t="shared" si="21"/>
        <v>21</v>
      </c>
      <c r="O156" s="147">
        <f t="shared" si="21"/>
        <v>0.15</v>
      </c>
    </row>
    <row r="157" spans="1:15" ht="15">
      <c r="A157" s="7"/>
      <c r="B157" s="2"/>
      <c r="C157" s="7"/>
      <c r="D157" s="35" t="s">
        <v>23</v>
      </c>
      <c r="E157" s="35"/>
      <c r="F157" s="35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4.25">
      <c r="A158" s="29">
        <v>70</v>
      </c>
      <c r="B158" s="23" t="s">
        <v>69</v>
      </c>
      <c r="C158" s="25">
        <v>40</v>
      </c>
      <c r="D158" s="125">
        <f>2.4*40/60</f>
        <v>1.6</v>
      </c>
      <c r="E158" s="125">
        <f>0.4*40/60</f>
        <v>0.26666666666666666</v>
      </c>
      <c r="F158" s="125">
        <f>11*40/60</f>
        <v>7.333333333333333</v>
      </c>
      <c r="G158" s="125">
        <f>50*40/60</f>
        <v>33.333333333333336</v>
      </c>
      <c r="H158" s="125">
        <f>46.6*40/60</f>
        <v>31.066666666666666</v>
      </c>
      <c r="I158" s="125">
        <f>0.1*40/60</f>
        <v>0.06666666666666667</v>
      </c>
      <c r="J158" s="127">
        <f>0.04*40/60</f>
        <v>0.02666666666666667</v>
      </c>
      <c r="K158" s="127">
        <v>0.34</v>
      </c>
      <c r="L158" s="127">
        <f>76.66*40/60</f>
        <v>51.10666666666666</v>
      </c>
      <c r="M158" s="127">
        <f>140*40/60</f>
        <v>93.33333333333333</v>
      </c>
      <c r="N158" s="127">
        <f>46.66*40/60</f>
        <v>31.106666666666666</v>
      </c>
      <c r="O158" s="127">
        <f>2*40/60</f>
        <v>1.3333333333333333</v>
      </c>
    </row>
    <row r="159" spans="1:15" ht="14.25">
      <c r="A159" s="29">
        <v>132</v>
      </c>
      <c r="B159" s="37" t="s">
        <v>74</v>
      </c>
      <c r="C159" s="29" t="s">
        <v>107</v>
      </c>
      <c r="D159" s="155">
        <f>3*150/200</f>
        <v>2.25</v>
      </c>
      <c r="E159" s="155">
        <f>4.5*150/200</f>
        <v>3.375</v>
      </c>
      <c r="F159" s="155">
        <f>20.1*150/200</f>
        <v>15.075</v>
      </c>
      <c r="G159" s="155">
        <f>135*150/200</f>
        <v>101.25</v>
      </c>
      <c r="H159" s="156">
        <v>0</v>
      </c>
      <c r="I159" s="156">
        <f>4.7*150/200</f>
        <v>3.525</v>
      </c>
      <c r="J159" s="156">
        <v>0</v>
      </c>
      <c r="K159" s="156">
        <f>0.3*150/200</f>
        <v>0.225</v>
      </c>
      <c r="L159" s="156">
        <f>18*150/200</f>
        <v>13.5</v>
      </c>
      <c r="M159" s="156">
        <f>77*150/200</f>
        <v>57.75</v>
      </c>
      <c r="N159" s="156">
        <f>13*150/200</f>
        <v>9.75</v>
      </c>
      <c r="O159" s="156">
        <f>0.4*150/200</f>
        <v>0.3</v>
      </c>
    </row>
    <row r="160" spans="1:15" ht="14.25">
      <c r="A160" s="29">
        <v>478</v>
      </c>
      <c r="B160" s="124" t="s">
        <v>65</v>
      </c>
      <c r="C160" s="29" t="s">
        <v>63</v>
      </c>
      <c r="D160" s="155">
        <f>9.87*150/200</f>
        <v>7.402499999999999</v>
      </c>
      <c r="E160" s="155">
        <f>12.3*150/200</f>
        <v>9.225</v>
      </c>
      <c r="F160" s="155">
        <f>27.28*150/200</f>
        <v>20.46</v>
      </c>
      <c r="G160" s="155">
        <f>367.32*150/200</f>
        <v>275.49</v>
      </c>
      <c r="H160" s="156">
        <f>24.9*150/200</f>
        <v>18.675</v>
      </c>
      <c r="I160" s="156">
        <f>39.08*150/200</f>
        <v>29.31</v>
      </c>
      <c r="J160" s="156">
        <f>147.59*150/200</f>
        <v>110.6925</v>
      </c>
      <c r="K160" s="156">
        <f>2.12*150/200</f>
        <v>1.59</v>
      </c>
      <c r="L160" s="156">
        <f>27.97*150/200</f>
        <v>20.9775</v>
      </c>
      <c r="M160" s="156">
        <f>2.24*150/200</f>
        <v>1.6800000000000004</v>
      </c>
      <c r="N160" s="156">
        <f>0.16*150/200</f>
        <v>0.12</v>
      </c>
      <c r="O160" s="156">
        <f>12.2*150/200</f>
        <v>9.15</v>
      </c>
    </row>
    <row r="161" spans="1:15" ht="14.25">
      <c r="A161" s="29">
        <v>638</v>
      </c>
      <c r="B161" s="124" t="s">
        <v>31</v>
      </c>
      <c r="C161" s="29">
        <v>150</v>
      </c>
      <c r="D161" s="155">
        <v>0.4</v>
      </c>
      <c r="E161" s="155">
        <v>0</v>
      </c>
      <c r="F161" s="155">
        <v>27.4</v>
      </c>
      <c r="G161" s="155">
        <v>106</v>
      </c>
      <c r="H161" s="156">
        <v>0</v>
      </c>
      <c r="I161" s="156">
        <v>2.8</v>
      </c>
      <c r="J161" s="156">
        <v>0</v>
      </c>
      <c r="K161" s="156">
        <v>0.2</v>
      </c>
      <c r="L161" s="156">
        <v>18</v>
      </c>
      <c r="M161" s="156">
        <v>10</v>
      </c>
      <c r="N161" s="156">
        <v>4</v>
      </c>
      <c r="O161" s="156">
        <v>0.6</v>
      </c>
    </row>
    <row r="162" spans="1:15" ht="14.25">
      <c r="A162" s="29"/>
      <c r="B162" s="28" t="s">
        <v>21</v>
      </c>
      <c r="C162" s="30" t="s">
        <v>22</v>
      </c>
      <c r="D162" s="155">
        <v>2.02</v>
      </c>
      <c r="E162" s="155">
        <v>0.4</v>
      </c>
      <c r="F162" s="155">
        <v>12.1</v>
      </c>
      <c r="G162" s="155">
        <v>65</v>
      </c>
      <c r="H162" s="156">
        <v>0.05</v>
      </c>
      <c r="I162" s="156">
        <v>0</v>
      </c>
      <c r="J162" s="156">
        <v>0</v>
      </c>
      <c r="K162" s="156">
        <v>0.45</v>
      </c>
      <c r="L162" s="156">
        <v>7.5</v>
      </c>
      <c r="M162" s="156">
        <v>24.68</v>
      </c>
      <c r="N162" s="156">
        <v>5.32</v>
      </c>
      <c r="O162" s="156">
        <v>0.45</v>
      </c>
    </row>
    <row r="163" spans="1:15" ht="15">
      <c r="A163" s="29"/>
      <c r="B163" s="28" t="s">
        <v>28</v>
      </c>
      <c r="C163" s="30"/>
      <c r="D163" s="135">
        <f aca="true" t="shared" si="22" ref="D163:O163">SUM(D158:D162)</f>
        <v>13.6725</v>
      </c>
      <c r="E163" s="135">
        <f t="shared" si="22"/>
        <v>13.266666666666667</v>
      </c>
      <c r="F163" s="135">
        <f t="shared" si="22"/>
        <v>82.36833333333333</v>
      </c>
      <c r="G163" s="135">
        <f t="shared" si="22"/>
        <v>581.0733333333334</v>
      </c>
      <c r="H163" s="135">
        <f t="shared" si="22"/>
        <v>49.791666666666664</v>
      </c>
      <c r="I163" s="135">
        <f t="shared" si="22"/>
        <v>35.70166666666666</v>
      </c>
      <c r="J163" s="135">
        <f t="shared" si="22"/>
        <v>110.71916666666667</v>
      </c>
      <c r="K163" s="135">
        <f t="shared" si="22"/>
        <v>2.8050000000000006</v>
      </c>
      <c r="L163" s="135">
        <f t="shared" si="22"/>
        <v>111.08416666666665</v>
      </c>
      <c r="M163" s="135">
        <f t="shared" si="22"/>
        <v>187.44333333333333</v>
      </c>
      <c r="N163" s="135">
        <f t="shared" si="22"/>
        <v>50.29666666666667</v>
      </c>
      <c r="O163" s="135">
        <f t="shared" si="22"/>
        <v>11.833333333333332</v>
      </c>
    </row>
    <row r="164" spans="1:15" ht="15" customHeight="1">
      <c r="A164" s="205" t="s">
        <v>82</v>
      </c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1"/>
    </row>
    <row r="165" spans="1:15" ht="14.25">
      <c r="A165" s="29"/>
      <c r="B165" s="28" t="s">
        <v>91</v>
      </c>
      <c r="C165" s="30">
        <v>60</v>
      </c>
      <c r="D165" s="141">
        <v>5.29</v>
      </c>
      <c r="E165" s="141">
        <v>7.9</v>
      </c>
      <c r="F165" s="141">
        <v>16.38</v>
      </c>
      <c r="G165" s="141">
        <v>140.18</v>
      </c>
      <c r="H165" s="141">
        <v>155.6</v>
      </c>
      <c r="I165" s="141">
        <v>3.6</v>
      </c>
      <c r="J165" s="141">
        <v>0.04</v>
      </c>
      <c r="K165" s="141">
        <v>0.6</v>
      </c>
      <c r="L165" s="141">
        <v>7.5</v>
      </c>
      <c r="M165" s="141">
        <v>35</v>
      </c>
      <c r="N165" s="141">
        <v>15</v>
      </c>
      <c r="O165" s="141">
        <v>0.9</v>
      </c>
    </row>
    <row r="166" spans="1:15" ht="14.25">
      <c r="A166" s="29">
        <v>685</v>
      </c>
      <c r="B166" s="28" t="s">
        <v>20</v>
      </c>
      <c r="C166" s="30" t="s">
        <v>97</v>
      </c>
      <c r="D166" s="141">
        <f>0.2*150/180</f>
        <v>0.16666666666666666</v>
      </c>
      <c r="E166" s="141">
        <v>0</v>
      </c>
      <c r="F166" s="141">
        <f>15*150/180</f>
        <v>12.5</v>
      </c>
      <c r="G166" s="141">
        <f>58*150/180</f>
        <v>48.333333333333336</v>
      </c>
      <c r="H166" s="110">
        <v>0</v>
      </c>
      <c r="I166" s="110">
        <f>2.2*150/180</f>
        <v>1.8333333333333333</v>
      </c>
      <c r="J166" s="110">
        <v>0</v>
      </c>
      <c r="K166" s="110">
        <v>0</v>
      </c>
      <c r="L166" s="110">
        <f>87*150/180</f>
        <v>72.5</v>
      </c>
      <c r="M166" s="110">
        <f>68*150/180</f>
        <v>56.666666666666664</v>
      </c>
      <c r="N166" s="110">
        <f>14*150/180</f>
        <v>11.666666666666666</v>
      </c>
      <c r="O166" s="110">
        <f>0.8*150/180</f>
        <v>0.6666666666666666</v>
      </c>
    </row>
    <row r="167" spans="1:15" ht="14.25">
      <c r="A167" s="29"/>
      <c r="B167" s="28" t="s">
        <v>81</v>
      </c>
      <c r="C167" s="30" t="s">
        <v>111</v>
      </c>
      <c r="D167" s="178">
        <v>0.5333333333333333</v>
      </c>
      <c r="E167" s="178">
        <v>0.5333333333333333</v>
      </c>
      <c r="F167" s="178">
        <v>13.066666666666668</v>
      </c>
      <c r="G167" s="178">
        <v>58.666666666666664</v>
      </c>
      <c r="H167" s="178">
        <v>0.04</v>
      </c>
      <c r="I167" s="178">
        <v>13.333333333333334</v>
      </c>
      <c r="J167" s="179">
        <v>0</v>
      </c>
      <c r="K167" s="179">
        <v>0</v>
      </c>
      <c r="L167" s="179">
        <v>21.333333333333332</v>
      </c>
      <c r="M167" s="179">
        <v>22</v>
      </c>
      <c r="N167" s="179">
        <v>12</v>
      </c>
      <c r="O167" s="179">
        <v>2.9333333333333336</v>
      </c>
    </row>
    <row r="168" spans="1:15" ht="15">
      <c r="A168" s="29"/>
      <c r="B168" s="28" t="s">
        <v>28</v>
      </c>
      <c r="C168" s="30"/>
      <c r="D168" s="180">
        <f>SUM(D165:D167)</f>
        <v>5.99</v>
      </c>
      <c r="E168" s="180">
        <f aca="true" t="shared" si="23" ref="E168:O168">SUM(E165:E167)</f>
        <v>8.433333333333334</v>
      </c>
      <c r="F168" s="180">
        <f t="shared" si="23"/>
        <v>41.946666666666665</v>
      </c>
      <c r="G168" s="180">
        <f t="shared" si="23"/>
        <v>247.18</v>
      </c>
      <c r="H168" s="180">
        <f t="shared" si="23"/>
        <v>155.64</v>
      </c>
      <c r="I168" s="180">
        <f t="shared" si="23"/>
        <v>18.766666666666666</v>
      </c>
      <c r="J168" s="180">
        <f t="shared" si="23"/>
        <v>0.04</v>
      </c>
      <c r="K168" s="180">
        <f t="shared" si="23"/>
        <v>0.6</v>
      </c>
      <c r="L168" s="180">
        <f t="shared" si="23"/>
        <v>101.33333333333333</v>
      </c>
      <c r="M168" s="180">
        <f t="shared" si="23"/>
        <v>113.66666666666666</v>
      </c>
      <c r="N168" s="180">
        <f t="shared" si="23"/>
        <v>38.666666666666664</v>
      </c>
      <c r="O168" s="180">
        <f t="shared" si="23"/>
        <v>4.5</v>
      </c>
    </row>
    <row r="169" spans="1:15" ht="15">
      <c r="A169" s="17"/>
      <c r="B169" s="22" t="s">
        <v>29</v>
      </c>
      <c r="C169" s="17"/>
      <c r="D169" s="147">
        <f>D153+D163+D156+D168</f>
        <v>30.396333333333338</v>
      </c>
      <c r="E169" s="147">
        <f aca="true" t="shared" si="24" ref="E169:O169">E153+E163+E156+E168</f>
        <v>30.79566666666667</v>
      </c>
      <c r="F169" s="147">
        <f t="shared" si="24"/>
        <v>168.67216666666664</v>
      </c>
      <c r="G169" s="147">
        <f t="shared" si="24"/>
        <v>1136.0475000000001</v>
      </c>
      <c r="H169" s="147">
        <f t="shared" si="24"/>
        <v>205.666</v>
      </c>
      <c r="I169" s="147">
        <f t="shared" si="24"/>
        <v>57.97216666666666</v>
      </c>
      <c r="J169" s="147">
        <f t="shared" si="24"/>
        <v>127.84416666666668</v>
      </c>
      <c r="K169" s="147">
        <f t="shared" si="24"/>
        <v>3.9770000000000008</v>
      </c>
      <c r="L169" s="147">
        <f t="shared" si="24"/>
        <v>596.1255</v>
      </c>
      <c r="M169" s="147">
        <f t="shared" si="24"/>
        <v>624.5949999999999</v>
      </c>
      <c r="N169" s="147">
        <f t="shared" si="24"/>
        <v>142.29566666666665</v>
      </c>
      <c r="O169" s="147">
        <f t="shared" si="24"/>
        <v>17.8325</v>
      </c>
    </row>
    <row r="170" spans="1:15" ht="163.5" customHeight="1">
      <c r="A170" s="7"/>
      <c r="B170" s="59"/>
      <c r="C170" s="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1:15" ht="15">
      <c r="A171" s="7"/>
      <c r="B171" s="59"/>
      <c r="C171" s="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1:15" ht="15">
      <c r="A172" s="7"/>
      <c r="B172" s="59"/>
      <c r="C172" s="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1:15" ht="15" customHeight="1">
      <c r="A173" s="7"/>
      <c r="B173" s="59"/>
      <c r="C173" s="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1:15" ht="36" customHeight="1">
      <c r="A174" s="207" t="s">
        <v>113</v>
      </c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</row>
    <row r="175" spans="1:15" ht="15">
      <c r="A175" s="7"/>
      <c r="B175" s="2"/>
      <c r="C175" s="58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1:15" ht="14.25">
      <c r="A176" s="117" t="s">
        <v>0</v>
      </c>
      <c r="B176" s="71" t="s">
        <v>1</v>
      </c>
      <c r="C176" s="44" t="s">
        <v>2</v>
      </c>
      <c r="D176" s="208" t="s">
        <v>3</v>
      </c>
      <c r="E176" s="209"/>
      <c r="F176" s="210"/>
      <c r="G176" s="44" t="s">
        <v>4</v>
      </c>
      <c r="H176" s="45" t="s">
        <v>5</v>
      </c>
      <c r="I176" s="46"/>
      <c r="J176" s="46"/>
      <c r="K176" s="47"/>
      <c r="L176" s="208" t="s">
        <v>6</v>
      </c>
      <c r="M176" s="209"/>
      <c r="N176" s="209"/>
      <c r="O176" s="220"/>
    </row>
    <row r="177" spans="1:15" ht="18.75">
      <c r="A177" s="72" t="s">
        <v>7</v>
      </c>
      <c r="B177" s="14"/>
      <c r="C177" s="13"/>
      <c r="D177" s="13" t="s">
        <v>8</v>
      </c>
      <c r="E177" s="13" t="s">
        <v>9</v>
      </c>
      <c r="F177" s="13" t="s">
        <v>10</v>
      </c>
      <c r="G177" s="13" t="s">
        <v>11</v>
      </c>
      <c r="H177" s="15" t="s">
        <v>68</v>
      </c>
      <c r="I177" s="15" t="s">
        <v>12</v>
      </c>
      <c r="J177" s="15" t="s">
        <v>13</v>
      </c>
      <c r="K177" s="15" t="s">
        <v>14</v>
      </c>
      <c r="L177" s="16" t="s">
        <v>15</v>
      </c>
      <c r="M177" s="16" t="s">
        <v>16</v>
      </c>
      <c r="N177" s="16" t="s">
        <v>17</v>
      </c>
      <c r="O177" s="73" t="s">
        <v>18</v>
      </c>
    </row>
    <row r="178" spans="1:15" ht="14.25">
      <c r="A178" s="74">
        <v>1</v>
      </c>
      <c r="B178" s="75">
        <v>2</v>
      </c>
      <c r="C178" s="76">
        <v>3</v>
      </c>
      <c r="D178" s="75">
        <v>4</v>
      </c>
      <c r="E178" s="75">
        <v>5</v>
      </c>
      <c r="F178" s="75">
        <v>6</v>
      </c>
      <c r="G178" s="75">
        <v>7</v>
      </c>
      <c r="H178" s="77">
        <v>8</v>
      </c>
      <c r="I178" s="77">
        <v>9</v>
      </c>
      <c r="J178" s="77">
        <v>10</v>
      </c>
      <c r="K178" s="77">
        <v>11</v>
      </c>
      <c r="L178" s="78">
        <v>12</v>
      </c>
      <c r="M178" s="78">
        <v>13</v>
      </c>
      <c r="N178" s="78">
        <v>14</v>
      </c>
      <c r="O178" s="79">
        <v>15</v>
      </c>
    </row>
    <row r="179" spans="1:15" ht="15">
      <c r="A179" s="20"/>
      <c r="B179" s="21" t="s">
        <v>44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1:16" ht="15">
      <c r="A180" s="19" t="s">
        <v>19</v>
      </c>
      <c r="B180" s="21"/>
      <c r="C180" s="20"/>
      <c r="D180" s="211" t="s">
        <v>26</v>
      </c>
      <c r="E180" s="211"/>
      <c r="F180" s="19"/>
      <c r="G180" s="20"/>
      <c r="H180" s="20"/>
      <c r="I180" s="20"/>
      <c r="J180" s="20"/>
      <c r="K180" s="20"/>
      <c r="L180" s="20"/>
      <c r="M180" s="20"/>
      <c r="N180" s="20"/>
      <c r="O180" s="20"/>
      <c r="P180" s="7"/>
    </row>
    <row r="181" spans="1:15" ht="31.5" customHeight="1">
      <c r="A181" s="219" t="s">
        <v>62</v>
      </c>
      <c r="B181" s="2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1:15" ht="14.25">
      <c r="A182" s="17">
        <v>161</v>
      </c>
      <c r="B182" s="24" t="s">
        <v>92</v>
      </c>
      <c r="C182" s="52">
        <v>170</v>
      </c>
      <c r="D182" s="168">
        <f>8.1*170/200</f>
        <v>6.885</v>
      </c>
      <c r="E182" s="169">
        <f>12.83*170/200</f>
        <v>10.9055</v>
      </c>
      <c r="F182" s="169">
        <f>36.8*170/200</f>
        <v>31.279999999999994</v>
      </c>
      <c r="G182" s="169">
        <f>295.7*170/200</f>
        <v>251.345</v>
      </c>
      <c r="H182" s="169">
        <f>0.17*170/200</f>
        <v>0.14450000000000002</v>
      </c>
      <c r="I182" s="169">
        <f>0.9*170/200</f>
        <v>0.765</v>
      </c>
      <c r="J182" s="169">
        <f>53.4*170/200</f>
        <v>45.39</v>
      </c>
      <c r="K182" s="169">
        <f>0.7*170/200</f>
        <v>0.595</v>
      </c>
      <c r="L182" s="169">
        <f>145*170/200</f>
        <v>123.25</v>
      </c>
      <c r="M182" s="169">
        <f>229.3*170/200</f>
        <v>194.905</v>
      </c>
      <c r="N182" s="169">
        <f>69.2*170/200</f>
        <v>58.82</v>
      </c>
      <c r="O182" s="169">
        <f>1.6*170/200</f>
        <v>1.36</v>
      </c>
    </row>
    <row r="183" spans="1:15" ht="14.25">
      <c r="A183" s="29"/>
      <c r="B183" s="28" t="s">
        <v>21</v>
      </c>
      <c r="C183" s="103">
        <v>20</v>
      </c>
      <c r="D183" s="141">
        <f>2.02*20/30</f>
        <v>1.3466666666666667</v>
      </c>
      <c r="E183" s="141">
        <f>0.4*20/30</f>
        <v>0.26666666666666666</v>
      </c>
      <c r="F183" s="141">
        <f>12.1*20/30</f>
        <v>8.066666666666666</v>
      </c>
      <c r="G183" s="141">
        <f>65*20/30</f>
        <v>43.333333333333336</v>
      </c>
      <c r="H183" s="110">
        <f>0.05*20/30</f>
        <v>0.03333333333333333</v>
      </c>
      <c r="I183" s="110">
        <v>0</v>
      </c>
      <c r="J183" s="110">
        <v>0</v>
      </c>
      <c r="K183" s="110">
        <f>0.45*20/30</f>
        <v>0.3</v>
      </c>
      <c r="L183" s="110">
        <f>7.5*20/30</f>
        <v>5</v>
      </c>
      <c r="M183" s="110">
        <f>24.68*20/30</f>
        <v>16.453333333333333</v>
      </c>
      <c r="N183" s="110">
        <f>5.32*20/30</f>
        <v>3.546666666666667</v>
      </c>
      <c r="O183" s="110">
        <f>0.45*20/30</f>
        <v>0.3</v>
      </c>
    </row>
    <row r="184" spans="1:15" ht="14.25">
      <c r="A184" s="29">
        <v>685</v>
      </c>
      <c r="B184" s="27" t="s">
        <v>20</v>
      </c>
      <c r="C184" s="29">
        <v>150</v>
      </c>
      <c r="D184" s="141">
        <f>0.2*150/180</f>
        <v>0.16666666666666666</v>
      </c>
      <c r="E184" s="141">
        <v>0</v>
      </c>
      <c r="F184" s="141">
        <f>15*150/180</f>
        <v>12.5</v>
      </c>
      <c r="G184" s="141">
        <f>58*150/180</f>
        <v>48.333333333333336</v>
      </c>
      <c r="H184" s="110">
        <v>0</v>
      </c>
      <c r="I184" s="110">
        <f>2.2*150/180</f>
        <v>1.8333333333333333</v>
      </c>
      <c r="J184" s="110">
        <v>0</v>
      </c>
      <c r="K184" s="110">
        <v>0</v>
      </c>
      <c r="L184" s="110">
        <f>87*150/180</f>
        <v>72.5</v>
      </c>
      <c r="M184" s="110">
        <f>68*150/180</f>
        <v>56.666666666666664</v>
      </c>
      <c r="N184" s="110">
        <f>14*150/180</f>
        <v>11.666666666666666</v>
      </c>
      <c r="O184" s="110">
        <f>0.8*150/180</f>
        <v>0.6666666666666666</v>
      </c>
    </row>
    <row r="185" spans="1:15" ht="15">
      <c r="A185" s="29"/>
      <c r="B185" s="28" t="s">
        <v>28</v>
      </c>
      <c r="C185" s="30"/>
      <c r="D185" s="64">
        <f aca="true" t="shared" si="25" ref="D185:O185">SUM(D182:D184)</f>
        <v>8.398333333333332</v>
      </c>
      <c r="E185" s="64">
        <f t="shared" si="25"/>
        <v>11.172166666666667</v>
      </c>
      <c r="F185" s="64">
        <f t="shared" si="25"/>
        <v>51.846666666666664</v>
      </c>
      <c r="G185" s="64">
        <f t="shared" si="25"/>
        <v>343.01166666666666</v>
      </c>
      <c r="H185" s="64">
        <f t="shared" si="25"/>
        <v>0.17783333333333334</v>
      </c>
      <c r="I185" s="64">
        <f t="shared" si="25"/>
        <v>2.598333333333333</v>
      </c>
      <c r="J185" s="64">
        <f t="shared" si="25"/>
        <v>45.39</v>
      </c>
      <c r="K185" s="64">
        <f t="shared" si="25"/>
        <v>0.895</v>
      </c>
      <c r="L185" s="64">
        <f t="shared" si="25"/>
        <v>200.75</v>
      </c>
      <c r="M185" s="64">
        <f t="shared" si="25"/>
        <v>268.02500000000003</v>
      </c>
      <c r="N185" s="64">
        <f t="shared" si="25"/>
        <v>74.03333333333333</v>
      </c>
      <c r="O185" s="64">
        <f t="shared" si="25"/>
        <v>2.3266666666666667</v>
      </c>
    </row>
    <row r="186" spans="1:15" ht="14.25" customHeight="1">
      <c r="A186" s="199" t="s">
        <v>114</v>
      </c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1"/>
    </row>
    <row r="187" spans="1:15" ht="14.25">
      <c r="A187" s="26"/>
      <c r="B187" s="27" t="s">
        <v>116</v>
      </c>
      <c r="C187" s="29">
        <v>180</v>
      </c>
      <c r="D187" s="183">
        <f>0.95*180/200</f>
        <v>0.855</v>
      </c>
      <c r="E187" s="183">
        <v>0</v>
      </c>
      <c r="F187" s="183">
        <f>17.29*180/200</f>
        <v>15.561</v>
      </c>
      <c r="G187" s="183">
        <f>72.96*180/200</f>
        <v>65.664</v>
      </c>
      <c r="H187" s="183">
        <f>0.019*180/200</f>
        <v>0.0171</v>
      </c>
      <c r="I187" s="183">
        <f>3.8*180/200</f>
        <v>3.42</v>
      </c>
      <c r="J187" s="183">
        <f>0.16*180/200</f>
        <v>0.14400000000000002</v>
      </c>
      <c r="K187" s="183">
        <v>0</v>
      </c>
      <c r="L187" s="183">
        <f>13.3*180/200</f>
        <v>11.97</v>
      </c>
      <c r="M187" s="183">
        <v>0</v>
      </c>
      <c r="N187" s="183">
        <f>2.66*180/200</f>
        <v>2.394</v>
      </c>
      <c r="O187" s="183">
        <v>0</v>
      </c>
    </row>
    <row r="188" spans="1:15" ht="15">
      <c r="A188" s="17"/>
      <c r="B188" s="31" t="s">
        <v>28</v>
      </c>
      <c r="C188" s="17"/>
      <c r="D188" s="147">
        <f aca="true" t="shared" si="26" ref="D188:O188">SUM(D187)</f>
        <v>0.855</v>
      </c>
      <c r="E188" s="147">
        <f t="shared" si="26"/>
        <v>0</v>
      </c>
      <c r="F188" s="147">
        <f t="shared" si="26"/>
        <v>15.561</v>
      </c>
      <c r="G188" s="147">
        <f t="shared" si="26"/>
        <v>65.664</v>
      </c>
      <c r="H188" s="147">
        <f t="shared" si="26"/>
        <v>0.0171</v>
      </c>
      <c r="I188" s="147">
        <f t="shared" si="26"/>
        <v>3.42</v>
      </c>
      <c r="J188" s="147">
        <f t="shared" si="26"/>
        <v>0.14400000000000002</v>
      </c>
      <c r="K188" s="147">
        <f t="shared" si="26"/>
        <v>0</v>
      </c>
      <c r="L188" s="147">
        <f t="shared" si="26"/>
        <v>11.97</v>
      </c>
      <c r="M188" s="147">
        <f t="shared" si="26"/>
        <v>0</v>
      </c>
      <c r="N188" s="147">
        <f t="shared" si="26"/>
        <v>2.394</v>
      </c>
      <c r="O188" s="147">
        <f t="shared" si="26"/>
        <v>0</v>
      </c>
    </row>
    <row r="189" spans="1:15" ht="15">
      <c r="A189" s="7"/>
      <c r="B189" s="2"/>
      <c r="C189" s="7"/>
      <c r="D189" s="35" t="s">
        <v>23</v>
      </c>
      <c r="E189" s="35"/>
      <c r="F189" s="35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4.25">
      <c r="A190" s="29">
        <v>70</v>
      </c>
      <c r="B190" s="23" t="s">
        <v>72</v>
      </c>
      <c r="C190" s="52">
        <v>40</v>
      </c>
      <c r="D190" s="125">
        <f>2.4*40/60</f>
        <v>1.6</v>
      </c>
      <c r="E190" s="125">
        <f>0.4*40/60</f>
        <v>0.26666666666666666</v>
      </c>
      <c r="F190" s="125">
        <f>11*40/60</f>
        <v>7.333333333333333</v>
      </c>
      <c r="G190" s="125">
        <f>50*40/60</f>
        <v>33.333333333333336</v>
      </c>
      <c r="H190" s="125">
        <f>46.6*40/60</f>
        <v>31.066666666666666</v>
      </c>
      <c r="I190" s="125">
        <f>0.1*40/60</f>
        <v>0.06666666666666667</v>
      </c>
      <c r="J190" s="127">
        <f>0.04*40/60</f>
        <v>0.02666666666666667</v>
      </c>
      <c r="K190" s="127">
        <v>0.34</v>
      </c>
      <c r="L190" s="127">
        <f>76.66*40/60</f>
        <v>51.10666666666666</v>
      </c>
      <c r="M190" s="127">
        <f>140*40/60</f>
        <v>93.33333333333333</v>
      </c>
      <c r="N190" s="127">
        <f>46.66*40/60</f>
        <v>31.106666666666666</v>
      </c>
      <c r="O190" s="127">
        <f>2*40/60</f>
        <v>1.3333333333333333</v>
      </c>
    </row>
    <row r="191" spans="1:15" ht="14.25">
      <c r="A191" s="29">
        <v>139</v>
      </c>
      <c r="B191" s="28" t="s">
        <v>24</v>
      </c>
      <c r="C191" s="29">
        <v>150</v>
      </c>
      <c r="D191" s="155">
        <f>6.2*150/200</f>
        <v>4.65</v>
      </c>
      <c r="E191" s="155">
        <f>5.6*150/200</f>
        <v>4.2</v>
      </c>
      <c r="F191" s="155">
        <f>22.3*150/200</f>
        <v>16.725</v>
      </c>
      <c r="G191" s="155">
        <f>167*150/200</f>
        <v>125.25</v>
      </c>
      <c r="H191" s="156">
        <f>0.12*150/200</f>
        <v>0.09</v>
      </c>
      <c r="I191" s="156">
        <f>7.6*150/200</f>
        <v>5.7</v>
      </c>
      <c r="J191" s="156">
        <f>0.01*150/200</f>
        <v>0.0075</v>
      </c>
      <c r="K191" s="156">
        <v>0</v>
      </c>
      <c r="L191" s="156">
        <f>560.2*150/200</f>
        <v>420.15</v>
      </c>
      <c r="M191" s="156">
        <f>123.8*150/200</f>
        <v>92.85</v>
      </c>
      <c r="N191" s="156">
        <f>37.3*150/200</f>
        <v>27.975</v>
      </c>
      <c r="O191" s="156">
        <f>1.8*150/200</f>
        <v>1.35</v>
      </c>
    </row>
    <row r="192" spans="1:15" ht="14.25">
      <c r="A192" s="112">
        <v>390</v>
      </c>
      <c r="B192" s="23" t="s">
        <v>75</v>
      </c>
      <c r="C192" s="113">
        <v>60</v>
      </c>
      <c r="D192" s="101">
        <f>14.8*60/80</f>
        <v>11.1</v>
      </c>
      <c r="E192" s="101">
        <f>8.8*60/80</f>
        <v>6.6</v>
      </c>
      <c r="F192" s="101">
        <f>15.3*60/80</f>
        <v>11.475</v>
      </c>
      <c r="G192" s="101">
        <f>196*60/80</f>
        <v>147</v>
      </c>
      <c r="H192" s="101">
        <f>0.07*60/80</f>
        <v>0.052500000000000005</v>
      </c>
      <c r="I192" s="101">
        <f>0.73*60/80</f>
        <v>0.5475</v>
      </c>
      <c r="J192" s="102">
        <f>40*60/80</f>
        <v>30</v>
      </c>
      <c r="K192" s="102">
        <f>17*60/80</f>
        <v>12.75</v>
      </c>
      <c r="L192" s="102">
        <f>84.1*60/80</f>
        <v>63.075</v>
      </c>
      <c r="M192" s="102">
        <f>121.7*60/80</f>
        <v>91.275</v>
      </c>
      <c r="N192" s="102">
        <f>32.2*60/80</f>
        <v>24.150000000000002</v>
      </c>
      <c r="O192" s="102">
        <f>0.64*60/80</f>
        <v>0.48</v>
      </c>
    </row>
    <row r="193" spans="1:15" ht="14.25">
      <c r="A193" s="29">
        <v>215</v>
      </c>
      <c r="B193" s="124" t="s">
        <v>76</v>
      </c>
      <c r="C193" s="114">
        <v>120</v>
      </c>
      <c r="D193" s="155">
        <f>3.29*120/150</f>
        <v>2.632</v>
      </c>
      <c r="E193" s="155">
        <f>7.1*120/150</f>
        <v>5.68</v>
      </c>
      <c r="F193" s="155">
        <f>22.09*120/150</f>
        <v>17.672</v>
      </c>
      <c r="G193" s="155">
        <f>165.2*120/150</f>
        <v>132.16</v>
      </c>
      <c r="H193" s="156">
        <f>0.18*120/150</f>
        <v>0.144</v>
      </c>
      <c r="I193" s="156">
        <f>17.5*120/150</f>
        <v>14</v>
      </c>
      <c r="J193" s="156">
        <f>46.7*120/150</f>
        <v>37.36</v>
      </c>
      <c r="K193" s="156">
        <f>1.11*120/150</f>
        <v>0.8880000000000001</v>
      </c>
      <c r="L193" s="156">
        <f>40.19*120/150</f>
        <v>32.151999999999994</v>
      </c>
      <c r="M193" s="156">
        <f>94.91*120/150</f>
        <v>75.928</v>
      </c>
      <c r="N193" s="156">
        <f>32.69*120/150</f>
        <v>26.151999999999997</v>
      </c>
      <c r="O193" s="156">
        <f>1.19*120/150</f>
        <v>0.9519999999999998</v>
      </c>
    </row>
    <row r="194" spans="1:15" ht="14.25">
      <c r="A194" s="29">
        <v>639</v>
      </c>
      <c r="B194" s="28" t="s">
        <v>36</v>
      </c>
      <c r="C194" s="29">
        <v>150</v>
      </c>
      <c r="D194" s="157">
        <f>0.097*150/180</f>
        <v>0.08083333333333334</v>
      </c>
      <c r="E194" s="157">
        <f>0.039*150/180</f>
        <v>0.0325</v>
      </c>
      <c r="F194" s="157">
        <f>21.512*150/180</f>
        <v>17.92666666666667</v>
      </c>
      <c r="G194" s="157">
        <f>86.785*150/180</f>
        <v>72.32083333333334</v>
      </c>
      <c r="H194" s="157">
        <f>0.002*150/180</f>
        <v>0.0016666666666666666</v>
      </c>
      <c r="I194" s="157">
        <f>0.058*150/180</f>
        <v>0.04833333333333334</v>
      </c>
      <c r="J194" s="157">
        <f>1.358*150/180</f>
        <v>1.1316666666666668</v>
      </c>
      <c r="K194" s="157">
        <f>0.058*150/180</f>
        <v>0.04833333333333334</v>
      </c>
      <c r="L194" s="157">
        <f>7.584*150/180</f>
        <v>6.319999999999999</v>
      </c>
      <c r="M194" s="157">
        <f>4.462*150/180</f>
        <v>3.7183333333333333</v>
      </c>
      <c r="N194" s="157">
        <f>1.746*150/180</f>
        <v>1.4549999999999998</v>
      </c>
      <c r="O194" s="157">
        <f>0.157*150/180</f>
        <v>0.13083333333333333</v>
      </c>
    </row>
    <row r="195" spans="1:15" ht="14.25">
      <c r="A195" s="80"/>
      <c r="B195" s="28" t="s">
        <v>21</v>
      </c>
      <c r="C195" s="30" t="s">
        <v>22</v>
      </c>
      <c r="D195" s="155">
        <v>2.7</v>
      </c>
      <c r="E195" s="155">
        <v>0.7</v>
      </c>
      <c r="F195" s="155">
        <v>16.3</v>
      </c>
      <c r="G195" s="155">
        <v>87</v>
      </c>
      <c r="H195" s="156">
        <v>0.06</v>
      </c>
      <c r="I195" s="156">
        <v>0</v>
      </c>
      <c r="J195" s="156">
        <v>0</v>
      </c>
      <c r="K195" s="156">
        <v>0.6</v>
      </c>
      <c r="L195" s="156">
        <v>10</v>
      </c>
      <c r="M195" s="156">
        <v>32</v>
      </c>
      <c r="N195" s="156">
        <v>7.1</v>
      </c>
      <c r="O195" s="156">
        <v>0.6</v>
      </c>
    </row>
    <row r="196" spans="1:15" ht="15">
      <c r="A196" s="29"/>
      <c r="B196" s="28" t="s">
        <v>28</v>
      </c>
      <c r="C196" s="30"/>
      <c r="D196" s="135">
        <f aca="true" t="shared" si="27" ref="D196:O196">SUM(D190:D195)</f>
        <v>22.762833333333337</v>
      </c>
      <c r="E196" s="135">
        <f t="shared" si="27"/>
        <v>17.479166666666664</v>
      </c>
      <c r="F196" s="135">
        <f t="shared" si="27"/>
        <v>87.432</v>
      </c>
      <c r="G196" s="135">
        <f t="shared" si="27"/>
        <v>597.0641666666667</v>
      </c>
      <c r="H196" s="135">
        <f t="shared" si="27"/>
        <v>31.414833333333327</v>
      </c>
      <c r="I196" s="135">
        <f t="shared" si="27"/>
        <v>20.362499999999997</v>
      </c>
      <c r="J196" s="135">
        <f t="shared" si="27"/>
        <v>68.52583333333332</v>
      </c>
      <c r="K196" s="135">
        <f t="shared" si="27"/>
        <v>14.626333333333333</v>
      </c>
      <c r="L196" s="135">
        <f t="shared" si="27"/>
        <v>582.8036666666668</v>
      </c>
      <c r="M196" s="135">
        <f t="shared" si="27"/>
        <v>389.1046666666667</v>
      </c>
      <c r="N196" s="135">
        <f t="shared" si="27"/>
        <v>117.93866666666666</v>
      </c>
      <c r="O196" s="135">
        <f t="shared" si="27"/>
        <v>4.846166666666666</v>
      </c>
    </row>
    <row r="197" spans="1:15" ht="15" customHeight="1">
      <c r="A197" s="205" t="s">
        <v>82</v>
      </c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1"/>
    </row>
    <row r="198" spans="1:15" ht="14.25">
      <c r="A198" s="29" t="s">
        <v>60</v>
      </c>
      <c r="B198" s="28" t="s">
        <v>93</v>
      </c>
      <c r="C198" s="30" t="s">
        <v>58</v>
      </c>
      <c r="D198" s="142">
        <f>12.36*60/80</f>
        <v>9.27</v>
      </c>
      <c r="E198" s="142">
        <f>10.53*60/80</f>
        <v>7.897499999999999</v>
      </c>
      <c r="F198" s="142">
        <f>13.02*60/80</f>
        <v>9.764999999999999</v>
      </c>
      <c r="G198" s="142">
        <f>256.4*60/80</f>
        <v>192.29999999999998</v>
      </c>
      <c r="H198" s="143">
        <f>0.06*60/80</f>
        <v>0.045</v>
      </c>
      <c r="I198" s="143">
        <f>0.41*60/80</f>
        <v>0.3075</v>
      </c>
      <c r="J198" s="143">
        <f>65.12*60/80</f>
        <v>48.84</v>
      </c>
      <c r="K198" s="143">
        <f>0.71*60/80</f>
        <v>0.5325</v>
      </c>
      <c r="L198" s="143">
        <f>63.56*60/80</f>
        <v>47.67</v>
      </c>
      <c r="M198" s="143">
        <f>62.82*60/80</f>
        <v>47.114999999999995</v>
      </c>
      <c r="N198" s="143">
        <f>12.93*60/80</f>
        <v>9.6975</v>
      </c>
      <c r="O198" s="143">
        <f>23.18*60/80</f>
        <v>17.384999999999998</v>
      </c>
    </row>
    <row r="199" spans="1:15" ht="14.25">
      <c r="A199" s="29"/>
      <c r="B199" s="28" t="s">
        <v>94</v>
      </c>
      <c r="C199" s="30" t="s">
        <v>25</v>
      </c>
      <c r="D199" s="141">
        <f>2.02*20/30</f>
        <v>1.3466666666666667</v>
      </c>
      <c r="E199" s="141">
        <f>0.4*20/30</f>
        <v>0.26666666666666666</v>
      </c>
      <c r="F199" s="141">
        <f>12.1*20/30</f>
        <v>8.066666666666666</v>
      </c>
      <c r="G199" s="141">
        <f>65*20/30</f>
        <v>43.333333333333336</v>
      </c>
      <c r="H199" s="110">
        <f>0.05*20/30</f>
        <v>0.03333333333333333</v>
      </c>
      <c r="I199" s="110">
        <v>0</v>
      </c>
      <c r="J199" s="110">
        <v>0</v>
      </c>
      <c r="K199" s="110">
        <f>0.45*20/30</f>
        <v>0.3</v>
      </c>
      <c r="L199" s="110">
        <f>7.5*20/30</f>
        <v>5</v>
      </c>
      <c r="M199" s="110">
        <f>24.68*20/30</f>
        <v>16.453333333333333</v>
      </c>
      <c r="N199" s="110">
        <f>5.32*20/30</f>
        <v>3.546666666666667</v>
      </c>
      <c r="O199" s="110">
        <f>0.45*20/30</f>
        <v>0.3</v>
      </c>
    </row>
    <row r="200" spans="1:15" ht="14.25">
      <c r="A200" s="29">
        <v>685</v>
      </c>
      <c r="B200" s="28" t="s">
        <v>20</v>
      </c>
      <c r="C200" s="30" t="s">
        <v>97</v>
      </c>
      <c r="D200" s="141">
        <f>0.2*150/180</f>
        <v>0.16666666666666666</v>
      </c>
      <c r="E200" s="141">
        <v>0</v>
      </c>
      <c r="F200" s="141">
        <f>15*150/180</f>
        <v>12.5</v>
      </c>
      <c r="G200" s="141">
        <f>58*150/180</f>
        <v>48.333333333333336</v>
      </c>
      <c r="H200" s="110">
        <v>0</v>
      </c>
      <c r="I200" s="110">
        <f>2.2*150/180</f>
        <v>1.8333333333333333</v>
      </c>
      <c r="J200" s="110">
        <v>0</v>
      </c>
      <c r="K200" s="110">
        <v>0</v>
      </c>
      <c r="L200" s="110">
        <f>87*150/180</f>
        <v>72.5</v>
      </c>
      <c r="M200" s="110">
        <f>68*150/180</f>
        <v>56.666666666666664</v>
      </c>
      <c r="N200" s="110">
        <f>14*150/180</f>
        <v>11.666666666666666</v>
      </c>
      <c r="O200" s="110">
        <f>0.8*150/180</f>
        <v>0.6666666666666666</v>
      </c>
    </row>
    <row r="201" spans="1:15" ht="15">
      <c r="A201" s="29"/>
      <c r="B201" s="28" t="s">
        <v>28</v>
      </c>
      <c r="C201" s="30"/>
      <c r="D201" s="64">
        <f>SUM(D198:D200)</f>
        <v>10.783333333333333</v>
      </c>
      <c r="E201" s="64">
        <f aca="true" t="shared" si="28" ref="E201:O201">SUM(E198:E200)</f>
        <v>8.164166666666667</v>
      </c>
      <c r="F201" s="64">
        <f t="shared" si="28"/>
        <v>30.331666666666663</v>
      </c>
      <c r="G201" s="64">
        <f t="shared" si="28"/>
        <v>283.96666666666664</v>
      </c>
      <c r="H201" s="64">
        <f t="shared" si="28"/>
        <v>0.07833333333333334</v>
      </c>
      <c r="I201" s="64">
        <f t="shared" si="28"/>
        <v>2.140833333333333</v>
      </c>
      <c r="J201" s="64">
        <f t="shared" si="28"/>
        <v>48.84</v>
      </c>
      <c r="K201" s="64">
        <f t="shared" si="28"/>
        <v>0.8325</v>
      </c>
      <c r="L201" s="64">
        <f t="shared" si="28"/>
        <v>125.17</v>
      </c>
      <c r="M201" s="64">
        <f t="shared" si="28"/>
        <v>120.23499999999999</v>
      </c>
      <c r="N201" s="64">
        <f t="shared" si="28"/>
        <v>24.910833333333333</v>
      </c>
      <c r="O201" s="64">
        <f t="shared" si="28"/>
        <v>18.351666666666667</v>
      </c>
    </row>
    <row r="202" spans="1:15" ht="15">
      <c r="A202" s="17"/>
      <c r="B202" s="22" t="s">
        <v>29</v>
      </c>
      <c r="C202" s="17"/>
      <c r="D202" s="32">
        <f>D185+D196+D201+D188</f>
        <v>42.799499999999995</v>
      </c>
      <c r="E202" s="32">
        <f aca="true" t="shared" si="29" ref="E202:O202">E185+E196+E201+E188</f>
        <v>36.8155</v>
      </c>
      <c r="F202" s="32">
        <f t="shared" si="29"/>
        <v>185.1713333333333</v>
      </c>
      <c r="G202" s="32">
        <f t="shared" si="29"/>
        <v>1289.7065</v>
      </c>
      <c r="H202" s="32">
        <f t="shared" si="29"/>
        <v>31.68809999999999</v>
      </c>
      <c r="I202" s="32">
        <f t="shared" si="29"/>
        <v>28.52166666666666</v>
      </c>
      <c r="J202" s="32">
        <f t="shared" si="29"/>
        <v>162.89983333333333</v>
      </c>
      <c r="K202" s="32">
        <f t="shared" si="29"/>
        <v>16.353833333333334</v>
      </c>
      <c r="L202" s="32">
        <f t="shared" si="29"/>
        <v>920.6936666666668</v>
      </c>
      <c r="M202" s="32">
        <f t="shared" si="29"/>
        <v>777.3646666666667</v>
      </c>
      <c r="N202" s="32">
        <f t="shared" si="29"/>
        <v>219.27683333333331</v>
      </c>
      <c r="O202" s="32">
        <f t="shared" si="29"/>
        <v>25.5245</v>
      </c>
    </row>
    <row r="203" spans="1:15" ht="15">
      <c r="A203" s="7"/>
      <c r="B203" s="59"/>
      <c r="C203" s="7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216.75" customHeight="1">
      <c r="A204" s="7"/>
      <c r="B204" s="59"/>
      <c r="C204" s="7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5">
      <c r="A205" s="7"/>
      <c r="B205" s="59"/>
      <c r="C205" s="7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5">
      <c r="A206" s="7"/>
      <c r="B206" s="59"/>
      <c r="C206" s="7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1:15" ht="15">
      <c r="A207" s="7"/>
      <c r="B207" s="59"/>
      <c r="C207" s="7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1:16" ht="32.25" customHeight="1">
      <c r="A208" s="7"/>
      <c r="B208" s="59"/>
      <c r="C208" s="7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8"/>
    </row>
    <row r="209" spans="1:16" ht="15" customHeight="1">
      <c r="A209" s="7"/>
      <c r="B209" s="59"/>
      <c r="C209" s="7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8"/>
    </row>
    <row r="210" spans="1:15" ht="15" customHeight="1">
      <c r="A210" s="7"/>
      <c r="B210" s="59"/>
      <c r="C210" s="7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1:15" ht="35.25" customHeight="1">
      <c r="A211" s="207" t="s">
        <v>113</v>
      </c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</row>
    <row r="212" spans="1:15" ht="15">
      <c r="A212" s="7"/>
      <c r="B212" s="2"/>
      <c r="C212" s="58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1:15" ht="14.25">
      <c r="A213" s="117" t="s">
        <v>0</v>
      </c>
      <c r="B213" s="71" t="s">
        <v>1</v>
      </c>
      <c r="C213" s="44" t="s">
        <v>2</v>
      </c>
      <c r="D213" s="208" t="s">
        <v>3</v>
      </c>
      <c r="E213" s="209"/>
      <c r="F213" s="210"/>
      <c r="G213" s="44" t="s">
        <v>4</v>
      </c>
      <c r="H213" s="45" t="s">
        <v>5</v>
      </c>
      <c r="I213" s="46"/>
      <c r="J213" s="46"/>
      <c r="K213" s="47"/>
      <c r="L213" s="208" t="s">
        <v>6</v>
      </c>
      <c r="M213" s="209"/>
      <c r="N213" s="209"/>
      <c r="O213" s="220"/>
    </row>
    <row r="214" spans="1:15" ht="18.75">
      <c r="A214" s="81" t="s">
        <v>7</v>
      </c>
      <c r="B214" s="82"/>
      <c r="C214" s="83"/>
      <c r="D214" s="83" t="s">
        <v>8</v>
      </c>
      <c r="E214" s="83" t="s">
        <v>9</v>
      </c>
      <c r="F214" s="83" t="s">
        <v>10</v>
      </c>
      <c r="G214" s="83" t="s">
        <v>11</v>
      </c>
      <c r="H214" s="77" t="s">
        <v>68</v>
      </c>
      <c r="I214" s="77" t="s">
        <v>12</v>
      </c>
      <c r="J214" s="77" t="s">
        <v>13</v>
      </c>
      <c r="K214" s="77" t="s">
        <v>14</v>
      </c>
      <c r="L214" s="78" t="s">
        <v>15</v>
      </c>
      <c r="M214" s="78" t="s">
        <v>16</v>
      </c>
      <c r="N214" s="78" t="s">
        <v>17</v>
      </c>
      <c r="O214" s="79" t="s">
        <v>18</v>
      </c>
    </row>
    <row r="215" spans="1:15" ht="14.25">
      <c r="A215" s="81">
        <v>1</v>
      </c>
      <c r="B215" s="84">
        <v>2</v>
      </c>
      <c r="C215" s="85">
        <v>3</v>
      </c>
      <c r="D215" s="84">
        <v>4</v>
      </c>
      <c r="E215" s="84">
        <v>5</v>
      </c>
      <c r="F215" s="84">
        <v>6</v>
      </c>
      <c r="G215" s="84">
        <v>7</v>
      </c>
      <c r="H215" s="83">
        <v>8</v>
      </c>
      <c r="I215" s="83">
        <v>9</v>
      </c>
      <c r="J215" s="83">
        <v>10</v>
      </c>
      <c r="K215" s="83">
        <v>11</v>
      </c>
      <c r="L215" s="86">
        <v>12</v>
      </c>
      <c r="M215" s="86">
        <v>13</v>
      </c>
      <c r="N215" s="86">
        <v>14</v>
      </c>
      <c r="O215" s="87">
        <v>15</v>
      </c>
    </row>
    <row r="216" spans="1:15" ht="15">
      <c r="A216" s="20"/>
      <c r="B216" s="18"/>
      <c r="C216" s="19"/>
      <c r="D216" s="19"/>
      <c r="E216" s="19"/>
      <c r="F216" s="19"/>
      <c r="G216" s="19"/>
      <c r="H216" s="20"/>
      <c r="I216" s="20"/>
      <c r="J216" s="20"/>
      <c r="K216" s="20"/>
      <c r="L216" s="20"/>
      <c r="M216" s="20"/>
      <c r="N216" s="20"/>
      <c r="O216" s="20"/>
    </row>
    <row r="217" spans="1:15" ht="15">
      <c r="A217" s="20"/>
      <c r="B217" s="21" t="s">
        <v>45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ht="15">
      <c r="A218" s="133" t="s">
        <v>19</v>
      </c>
      <c r="B218" s="133"/>
      <c r="C218" s="20"/>
      <c r="D218" s="211" t="s">
        <v>26</v>
      </c>
      <c r="E218" s="211"/>
      <c r="F218" s="19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ht="29.25" customHeight="1">
      <c r="A219" s="219" t="s">
        <v>62</v>
      </c>
      <c r="B219" s="2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4.25">
      <c r="A220" s="17">
        <v>161</v>
      </c>
      <c r="B220" s="23" t="s">
        <v>95</v>
      </c>
      <c r="C220" s="52">
        <v>170</v>
      </c>
      <c r="D220" s="52">
        <v>8.1</v>
      </c>
      <c r="E220" s="52">
        <v>12.83</v>
      </c>
      <c r="F220" s="52">
        <v>36.8</v>
      </c>
      <c r="G220" s="52">
        <v>295.7</v>
      </c>
      <c r="H220" s="15">
        <v>0.17</v>
      </c>
      <c r="I220" s="15">
        <v>0.9</v>
      </c>
      <c r="J220" s="15">
        <v>53.4</v>
      </c>
      <c r="K220" s="15">
        <v>0.7</v>
      </c>
      <c r="L220" s="15">
        <v>145.01</v>
      </c>
      <c r="M220" s="15">
        <v>229.3</v>
      </c>
      <c r="N220" s="11">
        <v>69.2</v>
      </c>
      <c r="O220" s="17">
        <v>1.6</v>
      </c>
    </row>
    <row r="221" spans="1:15" ht="14.25">
      <c r="A221" s="29">
        <v>686</v>
      </c>
      <c r="B221" s="23" t="s">
        <v>59</v>
      </c>
      <c r="C221" s="29">
        <v>150</v>
      </c>
      <c r="D221" s="141">
        <f>0.2*150/180</f>
        <v>0.16666666666666666</v>
      </c>
      <c r="E221" s="141">
        <v>0</v>
      </c>
      <c r="F221" s="141">
        <f>15*150/180</f>
        <v>12.5</v>
      </c>
      <c r="G221" s="141">
        <f>58*150/180</f>
        <v>48.333333333333336</v>
      </c>
      <c r="H221" s="110">
        <v>0</v>
      </c>
      <c r="I221" s="110">
        <f>2.2*150/180</f>
        <v>1.8333333333333333</v>
      </c>
      <c r="J221" s="110">
        <v>0</v>
      </c>
      <c r="K221" s="110">
        <v>0</v>
      </c>
      <c r="L221" s="110">
        <f>87*150/180</f>
        <v>72.5</v>
      </c>
      <c r="M221" s="110">
        <f>68*150/180</f>
        <v>56.666666666666664</v>
      </c>
      <c r="N221" s="110">
        <f>14*150/180</f>
        <v>11.666666666666666</v>
      </c>
      <c r="O221" s="110">
        <f>0.8*150/180</f>
        <v>0.6666666666666666</v>
      </c>
    </row>
    <row r="222" spans="1:15" ht="14.25">
      <c r="A222" s="5" t="s">
        <v>60</v>
      </c>
      <c r="B222" s="28" t="s">
        <v>21</v>
      </c>
      <c r="C222" s="104">
        <v>20</v>
      </c>
      <c r="D222" s="141">
        <f>2.02*20/30</f>
        <v>1.3466666666666667</v>
      </c>
      <c r="E222" s="141">
        <f>0.4*20/30</f>
        <v>0.26666666666666666</v>
      </c>
      <c r="F222" s="141">
        <f>12.1*20/30</f>
        <v>8.066666666666666</v>
      </c>
      <c r="G222" s="141">
        <f>65*20/30</f>
        <v>43.333333333333336</v>
      </c>
      <c r="H222" s="110">
        <f>0.05*20/30</f>
        <v>0.03333333333333333</v>
      </c>
      <c r="I222" s="110">
        <v>0</v>
      </c>
      <c r="J222" s="110">
        <v>0</v>
      </c>
      <c r="K222" s="110">
        <f>0.45*20/30</f>
        <v>0.3</v>
      </c>
      <c r="L222" s="110">
        <f>7.5*20/30</f>
        <v>5</v>
      </c>
      <c r="M222" s="110">
        <f>24.68*20/30</f>
        <v>16.453333333333333</v>
      </c>
      <c r="N222" s="110">
        <f>5.32*20/30</f>
        <v>3.546666666666667</v>
      </c>
      <c r="O222" s="110">
        <f>0.45*20/30</f>
        <v>0.3</v>
      </c>
    </row>
    <row r="223" spans="1:15" ht="15">
      <c r="A223" s="17"/>
      <c r="B223" s="31" t="s">
        <v>28</v>
      </c>
      <c r="C223" s="17"/>
      <c r="D223" s="40">
        <f aca="true" t="shared" si="30" ref="D223:O223">SUM(D220:D222)</f>
        <v>9.613333333333333</v>
      </c>
      <c r="E223" s="40">
        <f t="shared" si="30"/>
        <v>13.096666666666668</v>
      </c>
      <c r="F223" s="40">
        <f t="shared" si="30"/>
        <v>57.36666666666666</v>
      </c>
      <c r="G223" s="40">
        <f t="shared" si="30"/>
        <v>387.3666666666666</v>
      </c>
      <c r="H223" s="40">
        <f t="shared" si="30"/>
        <v>0.20333333333333334</v>
      </c>
      <c r="I223" s="40">
        <f t="shared" si="30"/>
        <v>2.7333333333333334</v>
      </c>
      <c r="J223" s="40">
        <f t="shared" si="30"/>
        <v>53.4</v>
      </c>
      <c r="K223" s="40">
        <f t="shared" si="30"/>
        <v>1</v>
      </c>
      <c r="L223" s="40">
        <f t="shared" si="30"/>
        <v>222.51</v>
      </c>
      <c r="M223" s="40">
        <f t="shared" si="30"/>
        <v>302.42</v>
      </c>
      <c r="N223" s="40">
        <f t="shared" si="30"/>
        <v>84.41333333333334</v>
      </c>
      <c r="O223" s="40">
        <f t="shared" si="30"/>
        <v>2.5666666666666664</v>
      </c>
    </row>
    <row r="224" spans="1:15" ht="15" customHeight="1">
      <c r="A224" s="199" t="s">
        <v>114</v>
      </c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1"/>
    </row>
    <row r="225" spans="1:15" ht="14.25">
      <c r="A225" s="26"/>
      <c r="B225" s="27" t="s">
        <v>115</v>
      </c>
      <c r="C225" s="29">
        <v>100</v>
      </c>
      <c r="D225" s="183">
        <v>4.35</v>
      </c>
      <c r="E225" s="183">
        <v>4.8</v>
      </c>
      <c r="F225" s="183">
        <v>6</v>
      </c>
      <c r="G225" s="183">
        <v>88.5</v>
      </c>
      <c r="H225" s="183">
        <v>0.15</v>
      </c>
      <c r="I225" s="183">
        <v>1.05</v>
      </c>
      <c r="J225" s="183">
        <v>0</v>
      </c>
      <c r="K225" s="183">
        <v>0</v>
      </c>
      <c r="L225" s="183">
        <v>180</v>
      </c>
      <c r="M225" s="183">
        <v>142.5</v>
      </c>
      <c r="N225" s="183">
        <v>21</v>
      </c>
      <c r="O225" s="183">
        <v>0.15</v>
      </c>
    </row>
    <row r="226" spans="1:15" ht="15">
      <c r="A226" s="17"/>
      <c r="B226" s="31" t="s">
        <v>28</v>
      </c>
      <c r="C226" s="17"/>
      <c r="D226" s="147">
        <f aca="true" t="shared" si="31" ref="D226:O226">SUM(D225)</f>
        <v>4.35</v>
      </c>
      <c r="E226" s="147">
        <f t="shared" si="31"/>
        <v>4.8</v>
      </c>
      <c r="F226" s="147">
        <f t="shared" si="31"/>
        <v>6</v>
      </c>
      <c r="G226" s="147">
        <f t="shared" si="31"/>
        <v>88.5</v>
      </c>
      <c r="H226" s="147">
        <f t="shared" si="31"/>
        <v>0.15</v>
      </c>
      <c r="I226" s="147">
        <f t="shared" si="31"/>
        <v>1.05</v>
      </c>
      <c r="J226" s="147">
        <f t="shared" si="31"/>
        <v>0</v>
      </c>
      <c r="K226" s="147">
        <f t="shared" si="31"/>
        <v>0</v>
      </c>
      <c r="L226" s="147">
        <f t="shared" si="31"/>
        <v>180</v>
      </c>
      <c r="M226" s="147">
        <f t="shared" si="31"/>
        <v>142.5</v>
      </c>
      <c r="N226" s="147">
        <f t="shared" si="31"/>
        <v>21</v>
      </c>
      <c r="O226" s="147">
        <f t="shared" si="31"/>
        <v>0.15</v>
      </c>
    </row>
    <row r="227" spans="1:15" ht="15">
      <c r="A227" s="7"/>
      <c r="B227" s="2"/>
      <c r="C227" s="7"/>
      <c r="D227" s="35" t="s">
        <v>23</v>
      </c>
      <c r="E227" s="35"/>
      <c r="F227" s="35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4.25">
      <c r="A228" s="29">
        <v>70</v>
      </c>
      <c r="B228" s="23" t="s">
        <v>69</v>
      </c>
      <c r="C228" s="25">
        <v>40</v>
      </c>
      <c r="D228" s="185">
        <f>2.4*40/60</f>
        <v>1.6</v>
      </c>
      <c r="E228" s="185">
        <f>0.4*40/60</f>
        <v>0.26666666666666666</v>
      </c>
      <c r="F228" s="185">
        <f>11*40/60</f>
        <v>7.333333333333333</v>
      </c>
      <c r="G228" s="185">
        <f>50*40/60</f>
        <v>33.333333333333336</v>
      </c>
      <c r="H228" s="185">
        <f>46.6*40/60</f>
        <v>31.066666666666666</v>
      </c>
      <c r="I228" s="185">
        <f>0.1*40/60</f>
        <v>0.06666666666666667</v>
      </c>
      <c r="J228" s="186">
        <f>0.04*40/60</f>
        <v>0.02666666666666667</v>
      </c>
      <c r="K228" s="186">
        <v>0.34</v>
      </c>
      <c r="L228" s="186">
        <f>76.66*40/60</f>
        <v>51.10666666666666</v>
      </c>
      <c r="M228" s="186">
        <f>140*40/60</f>
        <v>93.33333333333333</v>
      </c>
      <c r="N228" s="186">
        <f>46.66*40/60</f>
        <v>31.106666666666666</v>
      </c>
      <c r="O228" s="186">
        <f>2*40/60</f>
        <v>1.3333333333333333</v>
      </c>
    </row>
    <row r="229" spans="1:15" ht="14.25">
      <c r="A229" s="26">
        <v>124</v>
      </c>
      <c r="B229" s="88" t="s">
        <v>77</v>
      </c>
      <c r="C229" s="54" t="s">
        <v>107</v>
      </c>
      <c r="D229" s="170">
        <v>2.7</v>
      </c>
      <c r="E229" s="170">
        <v>7.8</v>
      </c>
      <c r="F229" s="170">
        <v>12.5</v>
      </c>
      <c r="G229" s="170">
        <v>125</v>
      </c>
      <c r="H229" s="171">
        <v>0.07</v>
      </c>
      <c r="I229" s="171">
        <v>14.41</v>
      </c>
      <c r="J229" s="171">
        <v>0.01</v>
      </c>
      <c r="K229" s="171">
        <v>0</v>
      </c>
      <c r="L229" s="171">
        <v>9.8</v>
      </c>
      <c r="M229" s="171">
        <v>53</v>
      </c>
      <c r="N229" s="171">
        <v>19.9</v>
      </c>
      <c r="O229" s="172">
        <v>0.93</v>
      </c>
    </row>
    <row r="230" spans="1:15" ht="14.25">
      <c r="A230" s="29">
        <v>436</v>
      </c>
      <c r="B230" s="28" t="s">
        <v>35</v>
      </c>
      <c r="C230" s="104" t="s">
        <v>63</v>
      </c>
      <c r="D230" s="141">
        <v>17.11</v>
      </c>
      <c r="E230" s="141">
        <v>20.95</v>
      </c>
      <c r="F230" s="141">
        <v>31.8</v>
      </c>
      <c r="G230" s="141">
        <v>383.52</v>
      </c>
      <c r="H230" s="110">
        <v>0.36</v>
      </c>
      <c r="I230" s="110">
        <v>40.68</v>
      </c>
      <c r="J230" s="110">
        <v>0.288</v>
      </c>
      <c r="K230" s="110">
        <v>0.68</v>
      </c>
      <c r="L230" s="110">
        <v>52.92</v>
      </c>
      <c r="M230" s="110">
        <v>417.6</v>
      </c>
      <c r="N230" s="110">
        <v>81.7</v>
      </c>
      <c r="O230" s="110">
        <v>5.07</v>
      </c>
    </row>
    <row r="231" spans="1:15" ht="14.25">
      <c r="A231" s="29">
        <v>638</v>
      </c>
      <c r="B231" s="28" t="s">
        <v>71</v>
      </c>
      <c r="C231" s="29">
        <v>150</v>
      </c>
      <c r="D231" s="141">
        <v>0.18</v>
      </c>
      <c r="E231" s="141">
        <v>0.18</v>
      </c>
      <c r="F231" s="141">
        <v>28.362</v>
      </c>
      <c r="G231" s="141">
        <v>116.91</v>
      </c>
      <c r="H231" s="110">
        <v>0.002</v>
      </c>
      <c r="I231" s="110">
        <v>0.058</v>
      </c>
      <c r="J231" s="110">
        <v>1.358</v>
      </c>
      <c r="K231" s="110">
        <v>0.058</v>
      </c>
      <c r="L231" s="110">
        <v>7.584</v>
      </c>
      <c r="M231" s="110">
        <v>4.462</v>
      </c>
      <c r="N231" s="110">
        <v>1.746</v>
      </c>
      <c r="O231" s="110">
        <v>0.157</v>
      </c>
    </row>
    <row r="232" spans="1:15" ht="14.25">
      <c r="A232" s="39"/>
      <c r="B232" s="28" t="s">
        <v>21</v>
      </c>
      <c r="C232" s="30" t="s">
        <v>22</v>
      </c>
      <c r="D232" s="141">
        <v>2.02</v>
      </c>
      <c r="E232" s="141">
        <v>0.4</v>
      </c>
      <c r="F232" s="141">
        <v>12.1</v>
      </c>
      <c r="G232" s="141">
        <v>65</v>
      </c>
      <c r="H232" s="110">
        <v>0.05</v>
      </c>
      <c r="I232" s="110">
        <v>0</v>
      </c>
      <c r="J232" s="110">
        <v>0</v>
      </c>
      <c r="K232" s="110">
        <v>0.45</v>
      </c>
      <c r="L232" s="110">
        <v>7.5</v>
      </c>
      <c r="M232" s="110">
        <v>24.68</v>
      </c>
      <c r="N232" s="110">
        <v>5.32</v>
      </c>
      <c r="O232" s="110">
        <v>0.45</v>
      </c>
    </row>
    <row r="233" spans="1:15" ht="15">
      <c r="A233" s="29"/>
      <c r="B233" s="28" t="s">
        <v>28</v>
      </c>
      <c r="C233" s="29"/>
      <c r="D233" s="180">
        <f aca="true" t="shared" si="32" ref="D233:O233">SUM(D228:D232)</f>
        <v>23.61</v>
      </c>
      <c r="E233" s="180">
        <f t="shared" si="32"/>
        <v>29.596666666666664</v>
      </c>
      <c r="F233" s="180">
        <f t="shared" si="32"/>
        <v>92.09533333333333</v>
      </c>
      <c r="G233" s="180">
        <f t="shared" si="32"/>
        <v>723.7633333333333</v>
      </c>
      <c r="H233" s="180">
        <f t="shared" si="32"/>
        <v>31.548666666666666</v>
      </c>
      <c r="I233" s="180">
        <f t="shared" si="32"/>
        <v>55.214666666666666</v>
      </c>
      <c r="J233" s="180">
        <f t="shared" si="32"/>
        <v>1.6826666666666668</v>
      </c>
      <c r="K233" s="180">
        <f t="shared" si="32"/>
        <v>1.528</v>
      </c>
      <c r="L233" s="180">
        <f t="shared" si="32"/>
        <v>128.91066666666666</v>
      </c>
      <c r="M233" s="180">
        <f t="shared" si="32"/>
        <v>593.0753333333333</v>
      </c>
      <c r="N233" s="180">
        <f t="shared" si="32"/>
        <v>139.77266666666665</v>
      </c>
      <c r="O233" s="180">
        <f t="shared" si="32"/>
        <v>7.940333333333334</v>
      </c>
    </row>
    <row r="234" spans="1:15" ht="15" customHeight="1">
      <c r="A234" s="205" t="s">
        <v>82</v>
      </c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1"/>
    </row>
    <row r="235" spans="1:15" ht="14.25">
      <c r="A235" s="29"/>
      <c r="B235" s="28" t="s">
        <v>50</v>
      </c>
      <c r="C235" s="29">
        <v>30</v>
      </c>
      <c r="D235" s="162">
        <f>4.8*30/40</f>
        <v>3.6</v>
      </c>
      <c r="E235" s="162">
        <f>19.9*30/40</f>
        <v>14.925</v>
      </c>
      <c r="F235" s="162">
        <f>22.1*30/40</f>
        <v>16.575</v>
      </c>
      <c r="G235" s="162">
        <f>149.8*30/40</f>
        <v>112.35</v>
      </c>
      <c r="H235" s="162">
        <v>0</v>
      </c>
      <c r="I235" s="162">
        <f>1.9*30/40</f>
        <v>1.425</v>
      </c>
      <c r="J235" s="163">
        <v>0</v>
      </c>
      <c r="K235" s="163">
        <v>0</v>
      </c>
      <c r="L235" s="163">
        <f>17*30/40</f>
        <v>12.75</v>
      </c>
      <c r="M235" s="163">
        <f>9*30/40</f>
        <v>6.75</v>
      </c>
      <c r="N235" s="163">
        <f>7*30/40</f>
        <v>5.25</v>
      </c>
      <c r="O235" s="163">
        <f>0.09*30/40</f>
        <v>0.06749999999999999</v>
      </c>
    </row>
    <row r="236" spans="1:15" ht="14.25">
      <c r="A236" s="29">
        <v>686</v>
      </c>
      <c r="B236" s="28" t="s">
        <v>59</v>
      </c>
      <c r="C236" s="29">
        <v>150</v>
      </c>
      <c r="D236" s="164">
        <f>0.2*150/180</f>
        <v>0.16666666666666666</v>
      </c>
      <c r="E236" s="164">
        <v>0</v>
      </c>
      <c r="F236" s="164">
        <f>15*150/180</f>
        <v>12.5</v>
      </c>
      <c r="G236" s="164">
        <f>58*150/180</f>
        <v>48.333333333333336</v>
      </c>
      <c r="H236" s="165">
        <v>0</v>
      </c>
      <c r="I236" s="165">
        <f>2.2*150/180</f>
        <v>1.8333333333333333</v>
      </c>
      <c r="J236" s="165">
        <v>0</v>
      </c>
      <c r="K236" s="165">
        <v>0</v>
      </c>
      <c r="L236" s="165">
        <f>87*150/180</f>
        <v>72.5</v>
      </c>
      <c r="M236" s="165">
        <f>68*150/180</f>
        <v>56.666666666666664</v>
      </c>
      <c r="N236" s="165">
        <f>14*150/180</f>
        <v>11.666666666666666</v>
      </c>
      <c r="O236" s="165">
        <f>0.8*150/180</f>
        <v>0.6666666666666666</v>
      </c>
    </row>
    <row r="237" spans="1:15" ht="14.25">
      <c r="A237" s="29"/>
      <c r="B237" s="28" t="s">
        <v>96</v>
      </c>
      <c r="C237" s="29">
        <v>100</v>
      </c>
      <c r="D237" s="164">
        <f>0.2*100/150</f>
        <v>0.13333333333333333</v>
      </c>
      <c r="E237" s="164">
        <v>0</v>
      </c>
      <c r="F237" s="164">
        <f>15*100/150</f>
        <v>10</v>
      </c>
      <c r="G237" s="164">
        <f>58*100/150</f>
        <v>38.666666666666664</v>
      </c>
      <c r="H237" s="165">
        <v>0</v>
      </c>
      <c r="I237" s="165">
        <f>2.2*100/150</f>
        <v>1.4666666666666668</v>
      </c>
      <c r="J237" s="165">
        <v>0</v>
      </c>
      <c r="K237" s="165">
        <v>0</v>
      </c>
      <c r="L237" s="165">
        <f>87*100/150</f>
        <v>58</v>
      </c>
      <c r="M237" s="165">
        <f>68*100/150</f>
        <v>45.333333333333336</v>
      </c>
      <c r="N237" s="165">
        <f>14*100/150</f>
        <v>9.333333333333334</v>
      </c>
      <c r="O237" s="165">
        <f>0.8*100/150</f>
        <v>0.5333333333333333</v>
      </c>
    </row>
    <row r="238" spans="1:15" ht="15">
      <c r="A238" s="29"/>
      <c r="B238" s="28" t="s">
        <v>28</v>
      </c>
      <c r="C238" s="29"/>
      <c r="D238" s="167">
        <f>SUM(D235:D237)</f>
        <v>3.9</v>
      </c>
      <c r="E238" s="167">
        <f aca="true" t="shared" si="33" ref="E238:O238">SUM(E235:E237)</f>
        <v>14.925</v>
      </c>
      <c r="F238" s="167">
        <f t="shared" si="33"/>
        <v>39.075</v>
      </c>
      <c r="G238" s="167">
        <f t="shared" si="33"/>
        <v>199.35</v>
      </c>
      <c r="H238" s="167">
        <f t="shared" si="33"/>
        <v>0</v>
      </c>
      <c r="I238" s="167">
        <f t="shared" si="33"/>
        <v>4.725</v>
      </c>
      <c r="J238" s="167">
        <f t="shared" si="33"/>
        <v>0</v>
      </c>
      <c r="K238" s="167">
        <f t="shared" si="33"/>
        <v>0</v>
      </c>
      <c r="L238" s="167">
        <f t="shared" si="33"/>
        <v>143.25</v>
      </c>
      <c r="M238" s="167">
        <f t="shared" si="33"/>
        <v>108.75</v>
      </c>
      <c r="N238" s="167">
        <f t="shared" si="33"/>
        <v>26.25</v>
      </c>
      <c r="O238" s="167">
        <f t="shared" si="33"/>
        <v>1.2675</v>
      </c>
    </row>
    <row r="239" spans="1:15" ht="15">
      <c r="A239" s="29"/>
      <c r="B239" s="63" t="s">
        <v>29</v>
      </c>
      <c r="C239" s="29"/>
      <c r="D239" s="167">
        <f>D223+D233+D238+D226</f>
        <v>41.47333333333333</v>
      </c>
      <c r="E239" s="167">
        <f aca="true" t="shared" si="34" ref="E239:O239">E223+E233+E238+E226</f>
        <v>62.41833333333332</v>
      </c>
      <c r="F239" s="167">
        <f t="shared" si="34"/>
        <v>194.53699999999998</v>
      </c>
      <c r="G239" s="167">
        <f t="shared" si="34"/>
        <v>1398.9799999999998</v>
      </c>
      <c r="H239" s="167">
        <f t="shared" si="34"/>
        <v>31.901999999999997</v>
      </c>
      <c r="I239" s="167">
        <f t="shared" si="34"/>
        <v>63.723</v>
      </c>
      <c r="J239" s="167">
        <f t="shared" si="34"/>
        <v>55.08266666666667</v>
      </c>
      <c r="K239" s="167">
        <f t="shared" si="34"/>
        <v>2.528</v>
      </c>
      <c r="L239" s="167">
        <f t="shared" si="34"/>
        <v>674.6706666666666</v>
      </c>
      <c r="M239" s="167">
        <f t="shared" si="34"/>
        <v>1146.7453333333333</v>
      </c>
      <c r="N239" s="167">
        <f t="shared" si="34"/>
        <v>271.436</v>
      </c>
      <c r="O239" s="167">
        <f t="shared" si="34"/>
        <v>11.924500000000002</v>
      </c>
    </row>
    <row r="240" spans="1:15" ht="15">
      <c r="A240" s="5"/>
      <c r="B240" s="89"/>
      <c r="C240" s="5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1:15" ht="105" customHeight="1">
      <c r="A241" s="5"/>
      <c r="B241" s="89"/>
      <c r="C241" s="5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  <row r="242" spans="1:15" ht="15">
      <c r="A242" s="5"/>
      <c r="B242" s="89"/>
      <c r="C242" s="5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</row>
    <row r="243" spans="1:15" ht="15">
      <c r="A243" s="5"/>
      <c r="B243" s="89"/>
      <c r="C243" s="5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15" ht="29.25" customHeight="1">
      <c r="A244" s="5"/>
      <c r="B244" s="89"/>
      <c r="C244" s="5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</row>
    <row r="245" spans="1:15" ht="15">
      <c r="A245" s="5"/>
      <c r="B245" s="89"/>
      <c r="C245" s="5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</row>
    <row r="246" spans="1:15" ht="38.25" customHeight="1">
      <c r="A246" s="207" t="s">
        <v>113</v>
      </c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</row>
    <row r="247" spans="1:15" ht="30" customHeight="1">
      <c r="A247" s="7"/>
      <c r="B247" s="2"/>
      <c r="C247" s="58"/>
      <c r="D247" s="3"/>
      <c r="E247" s="8"/>
      <c r="F247" s="3"/>
      <c r="G247" s="3"/>
      <c r="H247" s="3"/>
      <c r="I247" s="3"/>
      <c r="J247" s="3"/>
      <c r="K247" s="3"/>
      <c r="L247" s="3"/>
      <c r="M247" s="3"/>
      <c r="N247" s="3"/>
      <c r="O247" s="43"/>
    </row>
    <row r="248" spans="1:15" ht="14.25">
      <c r="A248" s="10" t="s">
        <v>0</v>
      </c>
      <c r="B248" s="9" t="s">
        <v>1</v>
      </c>
      <c r="C248" s="10" t="s">
        <v>2</v>
      </c>
      <c r="D248" s="208" t="s">
        <v>3</v>
      </c>
      <c r="E248" s="209"/>
      <c r="F248" s="210"/>
      <c r="G248" s="10" t="s">
        <v>4</v>
      </c>
      <c r="H248" s="45" t="s">
        <v>5</v>
      </c>
      <c r="I248" s="46"/>
      <c r="J248" s="46"/>
      <c r="K248" s="47"/>
      <c r="L248" s="208" t="s">
        <v>6</v>
      </c>
      <c r="M248" s="209"/>
      <c r="N248" s="209"/>
      <c r="O248" s="210"/>
    </row>
    <row r="249" spans="1:15" ht="18.75">
      <c r="A249" s="13" t="s">
        <v>7</v>
      </c>
      <c r="B249" s="14"/>
      <c r="C249" s="13"/>
      <c r="D249" s="13" t="s">
        <v>8</v>
      </c>
      <c r="E249" s="13" t="s">
        <v>9</v>
      </c>
      <c r="F249" s="13" t="s">
        <v>10</v>
      </c>
      <c r="G249" s="13" t="s">
        <v>11</v>
      </c>
      <c r="H249" s="15" t="s">
        <v>68</v>
      </c>
      <c r="I249" s="15" t="s">
        <v>12</v>
      </c>
      <c r="J249" s="15" t="s">
        <v>13</v>
      </c>
      <c r="K249" s="15" t="s">
        <v>14</v>
      </c>
      <c r="L249" s="16" t="s">
        <v>15</v>
      </c>
      <c r="M249" s="16" t="s">
        <v>16</v>
      </c>
      <c r="N249" s="16" t="s">
        <v>17</v>
      </c>
      <c r="O249" s="16" t="s">
        <v>18</v>
      </c>
    </row>
    <row r="250" spans="1:15" ht="14.25">
      <c r="A250" s="15">
        <v>1</v>
      </c>
      <c r="B250" s="11">
        <v>2</v>
      </c>
      <c r="C250" s="12">
        <v>3</v>
      </c>
      <c r="D250" s="11">
        <v>4</v>
      </c>
      <c r="E250" s="11">
        <v>5</v>
      </c>
      <c r="F250" s="11">
        <v>6</v>
      </c>
      <c r="G250" s="11">
        <v>7</v>
      </c>
      <c r="H250" s="15">
        <v>8</v>
      </c>
      <c r="I250" s="15">
        <v>9</v>
      </c>
      <c r="J250" s="15">
        <v>10</v>
      </c>
      <c r="K250" s="15">
        <v>11</v>
      </c>
      <c r="L250" s="16">
        <v>12</v>
      </c>
      <c r="M250" s="16">
        <v>13</v>
      </c>
      <c r="N250" s="16">
        <v>14</v>
      </c>
      <c r="O250" s="16">
        <v>15</v>
      </c>
    </row>
    <row r="251" spans="1:15" ht="15">
      <c r="A251" s="20"/>
      <c r="B251" s="21" t="s">
        <v>37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5" ht="20.25" customHeight="1">
      <c r="A252" s="133" t="s">
        <v>19</v>
      </c>
      <c r="B252" s="133"/>
      <c r="C252" s="20"/>
      <c r="D252" s="211" t="s">
        <v>26</v>
      </c>
      <c r="E252" s="211"/>
      <c r="F252" s="19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ht="32.25" customHeight="1">
      <c r="A253" s="219" t="s">
        <v>62</v>
      </c>
      <c r="B253" s="219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ht="14.25">
      <c r="A254" s="17">
        <v>161</v>
      </c>
      <c r="B254" s="23" t="s">
        <v>86</v>
      </c>
      <c r="C254" s="25">
        <v>170</v>
      </c>
      <c r="D254" s="125">
        <v>7.16</v>
      </c>
      <c r="E254" s="125">
        <v>10.5</v>
      </c>
      <c r="F254" s="125">
        <v>28.9</v>
      </c>
      <c r="G254" s="126">
        <v>239</v>
      </c>
      <c r="H254" s="125">
        <v>0.13</v>
      </c>
      <c r="I254" s="125">
        <v>0.24</v>
      </c>
      <c r="J254" s="127">
        <v>68.75</v>
      </c>
      <c r="K254" s="127">
        <v>0.69</v>
      </c>
      <c r="L254" s="127">
        <v>148.93</v>
      </c>
      <c r="M254" s="127">
        <v>185.11</v>
      </c>
      <c r="N254" s="127">
        <v>21.3</v>
      </c>
      <c r="O254" s="127">
        <v>7.17</v>
      </c>
    </row>
    <row r="255" spans="1:15" ht="14.25">
      <c r="A255" s="29"/>
      <c r="B255" s="28" t="s">
        <v>21</v>
      </c>
      <c r="C255" s="29">
        <v>20</v>
      </c>
      <c r="D255" s="141">
        <f>2.02*20/30</f>
        <v>1.3466666666666667</v>
      </c>
      <c r="E255" s="141">
        <f>0.4*20/30</f>
        <v>0.26666666666666666</v>
      </c>
      <c r="F255" s="141">
        <f>12.1*20/30</f>
        <v>8.066666666666666</v>
      </c>
      <c r="G255" s="141">
        <f>65*20/30</f>
        <v>43.333333333333336</v>
      </c>
      <c r="H255" s="110">
        <f>0.05*20/30</f>
        <v>0.03333333333333333</v>
      </c>
      <c r="I255" s="110">
        <v>0</v>
      </c>
      <c r="J255" s="110">
        <v>0</v>
      </c>
      <c r="K255" s="110">
        <f>0.45*20/30</f>
        <v>0.3</v>
      </c>
      <c r="L255" s="110">
        <f>7.5*20/30</f>
        <v>5</v>
      </c>
      <c r="M255" s="110">
        <f>24.68*20/30</f>
        <v>16.453333333333333</v>
      </c>
      <c r="N255" s="110">
        <f>5.32*20/30</f>
        <v>3.546666666666667</v>
      </c>
      <c r="O255" s="110">
        <f>0.45*20/30</f>
        <v>0.3</v>
      </c>
    </row>
    <row r="256" spans="1:15" ht="14.25">
      <c r="A256" s="29">
        <v>685</v>
      </c>
      <c r="B256" s="51" t="s">
        <v>98</v>
      </c>
      <c r="C256" s="103">
        <v>150</v>
      </c>
      <c r="D256" s="141">
        <f>0.2*150/180</f>
        <v>0.16666666666666666</v>
      </c>
      <c r="E256" s="141">
        <v>0</v>
      </c>
      <c r="F256" s="141">
        <f>15*150/180</f>
        <v>12.5</v>
      </c>
      <c r="G256" s="141">
        <f>58*150/180</f>
        <v>48.333333333333336</v>
      </c>
      <c r="H256" s="110">
        <v>0</v>
      </c>
      <c r="I256" s="110">
        <f>2.2*150/180</f>
        <v>1.8333333333333333</v>
      </c>
      <c r="J256" s="110">
        <v>0</v>
      </c>
      <c r="K256" s="110">
        <v>0</v>
      </c>
      <c r="L256" s="110">
        <f>87*150/180</f>
        <v>72.5</v>
      </c>
      <c r="M256" s="110">
        <f>68*150/180</f>
        <v>56.666666666666664</v>
      </c>
      <c r="N256" s="110">
        <f>14*150/180</f>
        <v>11.666666666666666</v>
      </c>
      <c r="O256" s="110">
        <f>0.8*150/180</f>
        <v>0.6666666666666666</v>
      </c>
    </row>
    <row r="257" spans="1:15" ht="15">
      <c r="A257" s="17"/>
      <c r="B257" s="31" t="s">
        <v>28</v>
      </c>
      <c r="C257" s="17"/>
      <c r="D257" s="32">
        <f aca="true" t="shared" si="35" ref="D257:O257">SUM(D254:D256)</f>
        <v>8.673333333333334</v>
      </c>
      <c r="E257" s="32">
        <f t="shared" si="35"/>
        <v>10.766666666666667</v>
      </c>
      <c r="F257" s="32">
        <f t="shared" si="35"/>
        <v>49.46666666666667</v>
      </c>
      <c r="G257" s="33">
        <f t="shared" si="35"/>
        <v>330.66666666666663</v>
      </c>
      <c r="H257" s="32">
        <f t="shared" si="35"/>
        <v>0.16333333333333333</v>
      </c>
      <c r="I257" s="32">
        <f t="shared" si="35"/>
        <v>2.0733333333333333</v>
      </c>
      <c r="J257" s="32">
        <f t="shared" si="35"/>
        <v>68.75</v>
      </c>
      <c r="K257" s="32">
        <f t="shared" si="35"/>
        <v>0.99</v>
      </c>
      <c r="L257" s="34">
        <f t="shared" si="35"/>
        <v>226.43</v>
      </c>
      <c r="M257" s="34">
        <f t="shared" si="35"/>
        <v>258.23</v>
      </c>
      <c r="N257" s="32">
        <f t="shared" si="35"/>
        <v>36.513333333333335</v>
      </c>
      <c r="O257" s="32">
        <f t="shared" si="35"/>
        <v>8.136666666666667</v>
      </c>
    </row>
    <row r="258" spans="1:15" ht="15" customHeight="1">
      <c r="A258" s="199" t="s">
        <v>114</v>
      </c>
      <c r="B258" s="200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1"/>
    </row>
    <row r="259" spans="1:15" ht="14.25">
      <c r="A259" s="26"/>
      <c r="B259" s="27" t="s">
        <v>115</v>
      </c>
      <c r="C259" s="29">
        <v>100</v>
      </c>
      <c r="D259" s="183">
        <v>4.35</v>
      </c>
      <c r="E259" s="183">
        <v>4.8</v>
      </c>
      <c r="F259" s="183">
        <v>6</v>
      </c>
      <c r="G259" s="183">
        <v>88.5</v>
      </c>
      <c r="H259" s="183">
        <v>0.15</v>
      </c>
      <c r="I259" s="183">
        <v>1.05</v>
      </c>
      <c r="J259" s="183">
        <v>0</v>
      </c>
      <c r="K259" s="183">
        <v>0</v>
      </c>
      <c r="L259" s="183">
        <v>180</v>
      </c>
      <c r="M259" s="183">
        <v>142.5</v>
      </c>
      <c r="N259" s="183">
        <v>21</v>
      </c>
      <c r="O259" s="183">
        <v>0.15</v>
      </c>
    </row>
    <row r="260" spans="1:15" ht="15">
      <c r="A260" s="17"/>
      <c r="B260" s="31" t="s">
        <v>28</v>
      </c>
      <c r="C260" s="17"/>
      <c r="D260" s="147">
        <f aca="true" t="shared" si="36" ref="D260:O260">SUM(D259)</f>
        <v>4.35</v>
      </c>
      <c r="E260" s="147">
        <f t="shared" si="36"/>
        <v>4.8</v>
      </c>
      <c r="F260" s="147">
        <f t="shared" si="36"/>
        <v>6</v>
      </c>
      <c r="G260" s="147">
        <f t="shared" si="36"/>
        <v>88.5</v>
      </c>
      <c r="H260" s="147">
        <f t="shared" si="36"/>
        <v>0.15</v>
      </c>
      <c r="I260" s="147">
        <f t="shared" si="36"/>
        <v>1.05</v>
      </c>
      <c r="J260" s="147">
        <f t="shared" si="36"/>
        <v>0</v>
      </c>
      <c r="K260" s="147">
        <f t="shared" si="36"/>
        <v>0</v>
      </c>
      <c r="L260" s="147">
        <f t="shared" si="36"/>
        <v>180</v>
      </c>
      <c r="M260" s="147">
        <f t="shared" si="36"/>
        <v>142.5</v>
      </c>
      <c r="N260" s="147">
        <f t="shared" si="36"/>
        <v>21</v>
      </c>
      <c r="O260" s="147">
        <f t="shared" si="36"/>
        <v>0.15</v>
      </c>
    </row>
    <row r="261" spans="1:15" ht="15">
      <c r="A261" s="7"/>
      <c r="B261" s="2"/>
      <c r="C261" s="7"/>
      <c r="D261" s="35" t="s">
        <v>23</v>
      </c>
      <c r="E261" s="35"/>
      <c r="F261" s="35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4.25">
      <c r="A262" s="29">
        <v>70</v>
      </c>
      <c r="B262" s="23" t="s">
        <v>72</v>
      </c>
      <c r="C262" s="52">
        <v>40</v>
      </c>
      <c r="D262" s="125">
        <f>2.4*40/60</f>
        <v>1.6</v>
      </c>
      <c r="E262" s="125">
        <f>0.4*40/60</f>
        <v>0.26666666666666666</v>
      </c>
      <c r="F262" s="125">
        <f>11*40/60</f>
        <v>7.333333333333333</v>
      </c>
      <c r="G262" s="125">
        <f>50*40/60</f>
        <v>33.333333333333336</v>
      </c>
      <c r="H262" s="125">
        <f>46.6*40/60</f>
        <v>31.066666666666666</v>
      </c>
      <c r="I262" s="125">
        <f>0.1*40/60</f>
        <v>0.06666666666666667</v>
      </c>
      <c r="J262" s="127">
        <f>0.04*40/60</f>
        <v>0.02666666666666667</v>
      </c>
      <c r="K262" s="127">
        <v>0.34</v>
      </c>
      <c r="L262" s="127">
        <f>76.66*40/60</f>
        <v>51.10666666666666</v>
      </c>
      <c r="M262" s="127">
        <f>140*40/60</f>
        <v>93.33333333333333</v>
      </c>
      <c r="N262" s="127">
        <f>46.66*40/60</f>
        <v>31.106666666666666</v>
      </c>
      <c r="O262" s="127">
        <f>2*40/60</f>
        <v>1.3333333333333333</v>
      </c>
    </row>
    <row r="263" spans="1:15" ht="14.25">
      <c r="A263" s="26">
        <v>135</v>
      </c>
      <c r="B263" s="27" t="s">
        <v>48</v>
      </c>
      <c r="C263" s="26" t="s">
        <v>107</v>
      </c>
      <c r="D263" s="151">
        <f>3*150/200</f>
        <v>2.25</v>
      </c>
      <c r="E263" s="151">
        <f>4.5*150/200</f>
        <v>3.375</v>
      </c>
      <c r="F263" s="151">
        <f>20.4*150/200</f>
        <v>15.3</v>
      </c>
      <c r="G263" s="151">
        <f>137*150/200</f>
        <v>102.75</v>
      </c>
      <c r="H263" s="152">
        <f>0.09*150/200</f>
        <v>0.0675</v>
      </c>
      <c r="I263" s="152">
        <f>6.83*150/200</f>
        <v>5.1225</v>
      </c>
      <c r="J263" s="152">
        <f>0.01*150/200</f>
        <v>0.0075</v>
      </c>
      <c r="K263" s="152">
        <v>0</v>
      </c>
      <c r="L263" s="152">
        <f>44.4*150/200</f>
        <v>33.3</v>
      </c>
      <c r="M263" s="152">
        <f>87.6*150/200</f>
        <v>65.7</v>
      </c>
      <c r="N263" s="152">
        <f>28.4*150/200</f>
        <v>21.3</v>
      </c>
      <c r="O263" s="152">
        <f>1.55*150/200</f>
        <v>1.1625</v>
      </c>
    </row>
    <row r="264" spans="1:15" ht="14.25">
      <c r="A264" s="29">
        <v>431</v>
      </c>
      <c r="B264" s="124" t="s">
        <v>66</v>
      </c>
      <c r="C264" s="29" t="s">
        <v>112</v>
      </c>
      <c r="D264" s="155">
        <v>16.4</v>
      </c>
      <c r="E264" s="155">
        <v>22.32</v>
      </c>
      <c r="F264" s="155">
        <v>13.72</v>
      </c>
      <c r="G264" s="155">
        <v>330.2</v>
      </c>
      <c r="H264" s="156">
        <v>1.4</v>
      </c>
      <c r="I264" s="156">
        <v>0</v>
      </c>
      <c r="J264" s="156">
        <v>141.1</v>
      </c>
      <c r="K264" s="156">
        <v>3.92</v>
      </c>
      <c r="L264" s="156">
        <v>86.4</v>
      </c>
      <c r="M264" s="156">
        <v>46.6</v>
      </c>
      <c r="N264" s="156">
        <v>84.18</v>
      </c>
      <c r="O264" s="156">
        <v>5.04</v>
      </c>
    </row>
    <row r="265" spans="1:15" ht="14.25">
      <c r="A265" s="67">
        <v>330</v>
      </c>
      <c r="B265" s="124" t="s">
        <v>33</v>
      </c>
      <c r="C265" s="104">
        <v>120</v>
      </c>
      <c r="D265" s="155">
        <v>11.28</v>
      </c>
      <c r="E265" s="155">
        <v>5.52</v>
      </c>
      <c r="F265" s="155">
        <v>26.72</v>
      </c>
      <c r="G265" s="155">
        <v>204</v>
      </c>
      <c r="H265" s="156">
        <v>0</v>
      </c>
      <c r="I265" s="156">
        <v>2.24</v>
      </c>
      <c r="J265" s="156">
        <v>0</v>
      </c>
      <c r="K265" s="156">
        <v>0.16</v>
      </c>
      <c r="L265" s="156">
        <v>14.4</v>
      </c>
      <c r="M265" s="156">
        <v>8</v>
      </c>
      <c r="N265" s="156">
        <v>3.2</v>
      </c>
      <c r="O265" s="156">
        <v>0.48</v>
      </c>
    </row>
    <row r="266" spans="1:15" ht="14.25">
      <c r="A266" s="29">
        <v>705</v>
      </c>
      <c r="B266" s="28" t="s">
        <v>20</v>
      </c>
      <c r="C266" s="29">
        <v>150</v>
      </c>
      <c r="D266" s="155">
        <f>0.2*150/180</f>
        <v>0.16666666666666666</v>
      </c>
      <c r="E266" s="155">
        <v>0</v>
      </c>
      <c r="F266" s="155">
        <f>15*150/180</f>
        <v>12.5</v>
      </c>
      <c r="G266" s="155">
        <f>58*150/180</f>
        <v>48.333333333333336</v>
      </c>
      <c r="H266" s="156">
        <v>0</v>
      </c>
      <c r="I266" s="156">
        <f>2.2*150/180</f>
        <v>1.8333333333333333</v>
      </c>
      <c r="J266" s="156">
        <v>0</v>
      </c>
      <c r="K266" s="156">
        <v>0</v>
      </c>
      <c r="L266" s="156">
        <f>87*150/180</f>
        <v>72.5</v>
      </c>
      <c r="M266" s="156">
        <f>68*150/180</f>
        <v>56.666666666666664</v>
      </c>
      <c r="N266" s="156">
        <f>14*150/180</f>
        <v>11.666666666666666</v>
      </c>
      <c r="O266" s="156">
        <f>0.8*150/180</f>
        <v>0.6666666666666666</v>
      </c>
    </row>
    <row r="267" spans="1:15" ht="14.25">
      <c r="A267" s="29"/>
      <c r="B267" s="28" t="s">
        <v>21</v>
      </c>
      <c r="C267" s="30" t="s">
        <v>22</v>
      </c>
      <c r="D267" s="155">
        <v>2.02</v>
      </c>
      <c r="E267" s="155">
        <v>0.4</v>
      </c>
      <c r="F267" s="155">
        <v>12.1</v>
      </c>
      <c r="G267" s="155">
        <v>65</v>
      </c>
      <c r="H267" s="156">
        <v>0.05</v>
      </c>
      <c r="I267" s="156">
        <v>0</v>
      </c>
      <c r="J267" s="156">
        <v>0</v>
      </c>
      <c r="K267" s="156">
        <v>0.45</v>
      </c>
      <c r="L267" s="156">
        <v>7.5</v>
      </c>
      <c r="M267" s="156">
        <v>24.68</v>
      </c>
      <c r="N267" s="156">
        <v>5.32</v>
      </c>
      <c r="O267" s="156">
        <v>0.45</v>
      </c>
    </row>
    <row r="268" spans="1:15" ht="15">
      <c r="A268" s="17"/>
      <c r="B268" s="31" t="s">
        <v>28</v>
      </c>
      <c r="C268" s="17"/>
      <c r="D268" s="32">
        <f aca="true" t="shared" si="37" ref="D268:O268">SUM(D262:D267)</f>
        <v>33.71666666666667</v>
      </c>
      <c r="E268" s="32">
        <f t="shared" si="37"/>
        <v>31.881666666666664</v>
      </c>
      <c r="F268" s="32">
        <f t="shared" si="37"/>
        <v>87.67333333333332</v>
      </c>
      <c r="G268" s="32">
        <f t="shared" si="37"/>
        <v>783.6166666666667</v>
      </c>
      <c r="H268" s="32">
        <f t="shared" si="37"/>
        <v>32.58416666666666</v>
      </c>
      <c r="I268" s="32">
        <f t="shared" si="37"/>
        <v>9.2625</v>
      </c>
      <c r="J268" s="32">
        <f t="shared" si="37"/>
        <v>141.13416666666666</v>
      </c>
      <c r="K268" s="32">
        <f t="shared" si="37"/>
        <v>4.87</v>
      </c>
      <c r="L268" s="32">
        <f t="shared" si="37"/>
        <v>265.2066666666667</v>
      </c>
      <c r="M268" s="32">
        <f t="shared" si="37"/>
        <v>294.98</v>
      </c>
      <c r="N268" s="32">
        <f t="shared" si="37"/>
        <v>156.7733333333333</v>
      </c>
      <c r="O268" s="32">
        <f t="shared" si="37"/>
        <v>9.132499999999999</v>
      </c>
    </row>
    <row r="269" spans="1:15" ht="15" customHeight="1">
      <c r="A269" s="205" t="s">
        <v>82</v>
      </c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1"/>
    </row>
    <row r="270" spans="1:15" ht="14.25">
      <c r="A270" s="118"/>
      <c r="B270" s="31" t="s">
        <v>99</v>
      </c>
      <c r="C270" s="17" t="s">
        <v>58</v>
      </c>
      <c r="D270" s="110">
        <v>5.29</v>
      </c>
      <c r="E270" s="110">
        <v>7.9</v>
      </c>
      <c r="F270" s="110">
        <v>16.38</v>
      </c>
      <c r="G270" s="110">
        <v>140.18</v>
      </c>
      <c r="H270" s="110">
        <v>155.6</v>
      </c>
      <c r="I270" s="110">
        <v>3.6</v>
      </c>
      <c r="J270" s="110">
        <v>0.04</v>
      </c>
      <c r="K270" s="110">
        <v>0.6</v>
      </c>
      <c r="L270" s="110">
        <v>7.5</v>
      </c>
      <c r="M270" s="110">
        <v>35</v>
      </c>
      <c r="N270" s="110">
        <v>15</v>
      </c>
      <c r="O270" s="110">
        <v>0.9</v>
      </c>
    </row>
    <row r="271" spans="1:15" ht="14.25">
      <c r="A271" s="29">
        <v>685</v>
      </c>
      <c r="B271" s="31" t="s">
        <v>20</v>
      </c>
      <c r="C271" s="17">
        <v>150</v>
      </c>
      <c r="D271" s="141">
        <f>0.2*150/180</f>
        <v>0.16666666666666666</v>
      </c>
      <c r="E271" s="141">
        <v>0</v>
      </c>
      <c r="F271" s="141">
        <f>15*150/180</f>
        <v>12.5</v>
      </c>
      <c r="G271" s="141">
        <f>58*150/180</f>
        <v>48.333333333333336</v>
      </c>
      <c r="H271" s="110">
        <v>0</v>
      </c>
      <c r="I271" s="110">
        <f>2.2*150/180</f>
        <v>1.8333333333333333</v>
      </c>
      <c r="J271" s="110">
        <v>0</v>
      </c>
      <c r="K271" s="110">
        <v>0</v>
      </c>
      <c r="L271" s="110">
        <f>87*150/180</f>
        <v>72.5</v>
      </c>
      <c r="M271" s="110">
        <f>68*150/180</f>
        <v>56.666666666666664</v>
      </c>
      <c r="N271" s="110">
        <f>14*150/180</f>
        <v>11.666666666666666</v>
      </c>
      <c r="O271" s="110">
        <f>0.8*150/180</f>
        <v>0.6666666666666666</v>
      </c>
    </row>
    <row r="272" spans="1:15" ht="14.25">
      <c r="A272" s="118"/>
      <c r="B272" s="31" t="s">
        <v>81</v>
      </c>
      <c r="C272" s="17">
        <v>100</v>
      </c>
      <c r="D272" s="178">
        <v>0.5333333333333333</v>
      </c>
      <c r="E272" s="178">
        <v>0.5333333333333333</v>
      </c>
      <c r="F272" s="178">
        <v>13.066666666666668</v>
      </c>
      <c r="G272" s="178">
        <v>58.666666666666664</v>
      </c>
      <c r="H272" s="178">
        <v>0.04</v>
      </c>
      <c r="I272" s="178">
        <v>13.333333333333334</v>
      </c>
      <c r="J272" s="179">
        <v>0</v>
      </c>
      <c r="K272" s="179">
        <v>0</v>
      </c>
      <c r="L272" s="179">
        <v>21.333333333333332</v>
      </c>
      <c r="M272" s="179">
        <v>22</v>
      </c>
      <c r="N272" s="179">
        <v>12</v>
      </c>
      <c r="O272" s="179">
        <v>2.9333333333333336</v>
      </c>
    </row>
    <row r="273" spans="1:15" ht="15">
      <c r="A273" s="118"/>
      <c r="B273" s="31" t="s">
        <v>28</v>
      </c>
      <c r="C273" s="17"/>
      <c r="D273" s="147">
        <f>SUM(D270:D272)</f>
        <v>5.99</v>
      </c>
      <c r="E273" s="147">
        <f aca="true" t="shared" si="38" ref="E273:O273">SUM(E270:E272)</f>
        <v>8.433333333333334</v>
      </c>
      <c r="F273" s="147">
        <f t="shared" si="38"/>
        <v>41.946666666666665</v>
      </c>
      <c r="G273" s="147">
        <f t="shared" si="38"/>
        <v>247.18</v>
      </c>
      <c r="H273" s="147">
        <f t="shared" si="38"/>
        <v>155.64</v>
      </c>
      <c r="I273" s="147">
        <f t="shared" si="38"/>
        <v>18.766666666666666</v>
      </c>
      <c r="J273" s="147">
        <f t="shared" si="38"/>
        <v>0.04</v>
      </c>
      <c r="K273" s="147">
        <f t="shared" si="38"/>
        <v>0.6</v>
      </c>
      <c r="L273" s="147">
        <f t="shared" si="38"/>
        <v>101.33333333333333</v>
      </c>
      <c r="M273" s="147">
        <f t="shared" si="38"/>
        <v>113.66666666666666</v>
      </c>
      <c r="N273" s="147">
        <f t="shared" si="38"/>
        <v>38.666666666666664</v>
      </c>
      <c r="O273" s="147">
        <f t="shared" si="38"/>
        <v>4.5</v>
      </c>
    </row>
    <row r="274" spans="1:15" ht="15">
      <c r="A274" s="80"/>
      <c r="B274" s="63" t="s">
        <v>29</v>
      </c>
      <c r="C274" s="29"/>
      <c r="D274" s="180">
        <f>D257+D268+D273+D260</f>
        <v>52.730000000000004</v>
      </c>
      <c r="E274" s="180">
        <f aca="true" t="shared" si="39" ref="E274:O274">E257+E268+E273+E260</f>
        <v>55.88166666666666</v>
      </c>
      <c r="F274" s="180">
        <f t="shared" si="39"/>
        <v>185.08666666666664</v>
      </c>
      <c r="G274" s="180">
        <f t="shared" si="39"/>
        <v>1449.9633333333334</v>
      </c>
      <c r="H274" s="180">
        <f t="shared" si="39"/>
        <v>188.5375</v>
      </c>
      <c r="I274" s="180">
        <f t="shared" si="39"/>
        <v>31.1525</v>
      </c>
      <c r="J274" s="180">
        <f t="shared" si="39"/>
        <v>209.92416666666665</v>
      </c>
      <c r="K274" s="180">
        <f t="shared" si="39"/>
        <v>6.46</v>
      </c>
      <c r="L274" s="180">
        <f t="shared" si="39"/>
        <v>772.97</v>
      </c>
      <c r="M274" s="180">
        <f t="shared" si="39"/>
        <v>809.3766666666667</v>
      </c>
      <c r="N274" s="180">
        <f t="shared" si="39"/>
        <v>252.9533333333333</v>
      </c>
      <c r="O274" s="180">
        <f t="shared" si="39"/>
        <v>21.919166666666662</v>
      </c>
    </row>
    <row r="275" spans="1:15" ht="15">
      <c r="A275" s="5"/>
      <c r="B275" s="89"/>
      <c r="C275" s="5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</row>
    <row r="276" spans="1:15" ht="237" customHeight="1">
      <c r="A276" s="5"/>
      <c r="B276" s="89"/>
      <c r="C276" s="5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</row>
    <row r="277" spans="1:15" ht="15">
      <c r="A277" s="5"/>
      <c r="B277" s="89"/>
      <c r="C277" s="5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</row>
    <row r="278" spans="1:17" ht="15">
      <c r="A278" s="5"/>
      <c r="B278" s="89"/>
      <c r="C278" s="5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90"/>
      <c r="Q278" s="105"/>
    </row>
    <row r="279" spans="1:15" ht="15" customHeight="1">
      <c r="A279" s="5"/>
      <c r="B279" s="89"/>
      <c r="C279" s="5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</row>
    <row r="280" spans="1:15" ht="32.25" customHeight="1">
      <c r="A280" s="207" t="s">
        <v>113</v>
      </c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</row>
    <row r="281" spans="1:15" ht="27.75" customHeight="1">
      <c r="A281" s="7"/>
      <c r="B281" s="2"/>
      <c r="C281" s="58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1:15" ht="14.25">
      <c r="A282" s="10" t="s">
        <v>0</v>
      </c>
      <c r="B282" s="9" t="s">
        <v>1</v>
      </c>
      <c r="C282" s="10" t="s">
        <v>2</v>
      </c>
      <c r="D282" s="208" t="s">
        <v>3</v>
      </c>
      <c r="E282" s="209"/>
      <c r="F282" s="210"/>
      <c r="G282" s="10" t="s">
        <v>4</v>
      </c>
      <c r="H282" s="208" t="s">
        <v>5</v>
      </c>
      <c r="I282" s="209"/>
      <c r="J282" s="209"/>
      <c r="K282" s="210"/>
      <c r="L282" s="208" t="s">
        <v>6</v>
      </c>
      <c r="M282" s="209"/>
      <c r="N282" s="209"/>
      <c r="O282" s="210"/>
    </row>
    <row r="283" spans="1:15" ht="18.75">
      <c r="A283" s="13" t="s">
        <v>7</v>
      </c>
      <c r="B283" s="14"/>
      <c r="C283" s="13"/>
      <c r="D283" s="13" t="s">
        <v>8</v>
      </c>
      <c r="E283" s="13" t="s">
        <v>9</v>
      </c>
      <c r="F283" s="13" t="s">
        <v>10</v>
      </c>
      <c r="G283" s="13" t="s">
        <v>11</v>
      </c>
      <c r="H283" s="15" t="s">
        <v>68</v>
      </c>
      <c r="I283" s="15" t="s">
        <v>12</v>
      </c>
      <c r="J283" s="15" t="s">
        <v>13</v>
      </c>
      <c r="K283" s="15" t="s">
        <v>14</v>
      </c>
      <c r="L283" s="16" t="s">
        <v>15</v>
      </c>
      <c r="M283" s="16" t="s">
        <v>16</v>
      </c>
      <c r="N283" s="16" t="s">
        <v>17</v>
      </c>
      <c r="O283" s="16" t="s">
        <v>18</v>
      </c>
    </row>
    <row r="284" spans="1:15" ht="14.25">
      <c r="A284" s="15">
        <v>1</v>
      </c>
      <c r="B284" s="11">
        <v>2</v>
      </c>
      <c r="C284" s="12">
        <v>3</v>
      </c>
      <c r="D284" s="11">
        <v>4</v>
      </c>
      <c r="E284" s="11">
        <v>5</v>
      </c>
      <c r="F284" s="11">
        <v>6</v>
      </c>
      <c r="G284" s="11">
        <v>7</v>
      </c>
      <c r="H284" s="15">
        <v>8</v>
      </c>
      <c r="I284" s="15">
        <v>9</v>
      </c>
      <c r="J284" s="15">
        <v>10</v>
      </c>
      <c r="K284" s="15">
        <v>11</v>
      </c>
      <c r="L284" s="16">
        <v>12</v>
      </c>
      <c r="M284" s="16">
        <v>13</v>
      </c>
      <c r="N284" s="16">
        <v>14</v>
      </c>
      <c r="O284" s="16">
        <v>15</v>
      </c>
    </row>
    <row r="285" spans="1:15" ht="15">
      <c r="A285" s="20"/>
      <c r="B285" s="18"/>
      <c r="C285" s="19"/>
      <c r="D285" s="19"/>
      <c r="E285" s="19"/>
      <c r="F285" s="19"/>
      <c r="G285" s="19"/>
      <c r="H285" s="20"/>
      <c r="I285" s="20"/>
      <c r="J285" s="20"/>
      <c r="K285" s="20"/>
      <c r="L285" s="20"/>
      <c r="M285" s="20"/>
      <c r="N285" s="20"/>
      <c r="O285" s="20"/>
    </row>
    <row r="286" spans="1:15" ht="15">
      <c r="A286" s="20"/>
      <c r="B286" s="21" t="s">
        <v>38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</row>
    <row r="287" spans="1:15" ht="15">
      <c r="A287" s="133" t="s">
        <v>19</v>
      </c>
      <c r="B287" s="133"/>
      <c r="C287" s="20"/>
      <c r="D287" s="211" t="s">
        <v>26</v>
      </c>
      <c r="E287" s="211"/>
      <c r="F287" s="19"/>
      <c r="G287" s="20"/>
      <c r="H287" s="20"/>
      <c r="I287" s="20"/>
      <c r="J287" s="20"/>
      <c r="K287" s="20"/>
      <c r="L287" s="20"/>
      <c r="M287" s="20"/>
      <c r="N287" s="20"/>
      <c r="O287" s="20"/>
    </row>
    <row r="288" spans="1:15" ht="27" customHeight="1">
      <c r="A288" s="219" t="s">
        <v>62</v>
      </c>
      <c r="B288" s="219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</row>
    <row r="289" spans="1:15" ht="14.25">
      <c r="A289" s="156">
        <v>161</v>
      </c>
      <c r="B289" s="187" t="s">
        <v>100</v>
      </c>
      <c r="C289" s="188">
        <v>170</v>
      </c>
      <c r="D289" s="125">
        <f>6.343*170/200</f>
        <v>5.39155</v>
      </c>
      <c r="E289" s="125">
        <f>7.004*170/200</f>
        <v>5.953399999999999</v>
      </c>
      <c r="F289" s="125">
        <f>25.191*170/200</f>
        <v>21.41235</v>
      </c>
      <c r="G289" s="125">
        <f>173.79*170/200</f>
        <v>147.7215</v>
      </c>
      <c r="H289" s="125">
        <v>0</v>
      </c>
      <c r="I289" s="125">
        <f>1.76*170/200</f>
        <v>1.496</v>
      </c>
      <c r="J289" s="127">
        <f>0.3897*170/200</f>
        <v>0.33124499999999996</v>
      </c>
      <c r="K289" s="127">
        <f>0.1102*170/200</f>
        <v>0.09367</v>
      </c>
      <c r="L289" s="127">
        <f>0.2213*170/200</f>
        <v>0.18810500000000002</v>
      </c>
      <c r="M289" s="127">
        <f>0.01959*170/200</f>
        <v>0.0166515</v>
      </c>
      <c r="N289" s="127">
        <f>0.03*170/200</f>
        <v>0.0255</v>
      </c>
      <c r="O289" s="127">
        <f>27.842*170/200</f>
        <v>23.665699999999998</v>
      </c>
    </row>
    <row r="290" spans="1:15" ht="14.25">
      <c r="A290" s="189"/>
      <c r="B290" s="190" t="s">
        <v>21</v>
      </c>
      <c r="C290" s="175">
        <v>20</v>
      </c>
      <c r="D290" s="155">
        <f>2.02*20/30</f>
        <v>1.3466666666666667</v>
      </c>
      <c r="E290" s="155">
        <f>0.4*20/30</f>
        <v>0.26666666666666666</v>
      </c>
      <c r="F290" s="155">
        <f>12.1*20/30</f>
        <v>8.066666666666666</v>
      </c>
      <c r="G290" s="155">
        <f>65*20/30</f>
        <v>43.333333333333336</v>
      </c>
      <c r="H290" s="156">
        <f>0.05*20/30</f>
        <v>0.03333333333333333</v>
      </c>
      <c r="I290" s="156">
        <v>0</v>
      </c>
      <c r="J290" s="156">
        <v>0</v>
      </c>
      <c r="K290" s="156">
        <f>0.45*20/30</f>
        <v>0.3</v>
      </c>
      <c r="L290" s="156">
        <f>7.5*20/30</f>
        <v>5</v>
      </c>
      <c r="M290" s="156">
        <f>24.68*20/30</f>
        <v>16.453333333333333</v>
      </c>
      <c r="N290" s="156">
        <f>5.32*20/30</f>
        <v>3.546666666666667</v>
      </c>
      <c r="O290" s="156">
        <f>0.45*20/30</f>
        <v>0.3</v>
      </c>
    </row>
    <row r="291" spans="1:15" ht="14.25">
      <c r="A291" s="155">
        <v>686</v>
      </c>
      <c r="B291" s="190" t="s">
        <v>101</v>
      </c>
      <c r="C291" s="155">
        <v>150</v>
      </c>
      <c r="D291" s="155">
        <f>0.2*150/180</f>
        <v>0.16666666666666666</v>
      </c>
      <c r="E291" s="155">
        <v>0</v>
      </c>
      <c r="F291" s="155">
        <f>15*150/180</f>
        <v>12.5</v>
      </c>
      <c r="G291" s="155">
        <f>58*150/180</f>
        <v>48.333333333333336</v>
      </c>
      <c r="H291" s="156">
        <v>0</v>
      </c>
      <c r="I291" s="156">
        <f>2.2*150/180</f>
        <v>1.8333333333333333</v>
      </c>
      <c r="J291" s="156">
        <v>0</v>
      </c>
      <c r="K291" s="156">
        <v>0</v>
      </c>
      <c r="L291" s="156">
        <f>87*150/180</f>
        <v>72.5</v>
      </c>
      <c r="M291" s="156">
        <f>68*150/180</f>
        <v>56.666666666666664</v>
      </c>
      <c r="N291" s="156">
        <f>14*150/180</f>
        <v>11.666666666666666</v>
      </c>
      <c r="O291" s="156">
        <f>0.8*150/180</f>
        <v>0.6666666666666666</v>
      </c>
    </row>
    <row r="292" spans="1:15" ht="15">
      <c r="A292" s="156"/>
      <c r="B292" s="191" t="s">
        <v>28</v>
      </c>
      <c r="C292" s="156"/>
      <c r="D292" s="32">
        <f aca="true" t="shared" si="40" ref="D292:O292">SUM(D289:D291)</f>
        <v>6.904883333333333</v>
      </c>
      <c r="E292" s="32">
        <f t="shared" si="40"/>
        <v>6.220066666666666</v>
      </c>
      <c r="F292" s="32">
        <f t="shared" si="40"/>
        <v>41.979016666666666</v>
      </c>
      <c r="G292" s="32">
        <f t="shared" si="40"/>
        <v>239.38816666666668</v>
      </c>
      <c r="H292" s="32">
        <f t="shared" si="40"/>
        <v>0.03333333333333333</v>
      </c>
      <c r="I292" s="32">
        <f t="shared" si="40"/>
        <v>3.3293333333333335</v>
      </c>
      <c r="J292" s="32">
        <f t="shared" si="40"/>
        <v>0.33124499999999996</v>
      </c>
      <c r="K292" s="32">
        <f t="shared" si="40"/>
        <v>0.39366999999999996</v>
      </c>
      <c r="L292" s="32">
        <f t="shared" si="40"/>
        <v>77.68810500000001</v>
      </c>
      <c r="M292" s="32">
        <f t="shared" si="40"/>
        <v>73.1366515</v>
      </c>
      <c r="N292" s="32">
        <f t="shared" si="40"/>
        <v>15.238833333333332</v>
      </c>
      <c r="O292" s="32">
        <f t="shared" si="40"/>
        <v>24.632366666666666</v>
      </c>
    </row>
    <row r="293" spans="1:15" ht="14.25" customHeight="1">
      <c r="A293" s="202" t="s">
        <v>114</v>
      </c>
      <c r="B293" s="203"/>
      <c r="C293" s="203"/>
      <c r="D293" s="203"/>
      <c r="E293" s="203"/>
      <c r="F293" s="203"/>
      <c r="G293" s="203"/>
      <c r="H293" s="203"/>
      <c r="I293" s="203"/>
      <c r="J293" s="203"/>
      <c r="K293" s="203"/>
      <c r="L293" s="203"/>
      <c r="M293" s="203"/>
      <c r="N293" s="203"/>
      <c r="O293" s="204"/>
    </row>
    <row r="294" spans="1:15" ht="14.25">
      <c r="A294" s="151"/>
      <c r="B294" s="192" t="s">
        <v>116</v>
      </c>
      <c r="C294" s="155">
        <v>180</v>
      </c>
      <c r="D294" s="193">
        <f>0.95*180/200</f>
        <v>0.855</v>
      </c>
      <c r="E294" s="193">
        <v>0</v>
      </c>
      <c r="F294" s="193">
        <f>17.29*180/200</f>
        <v>15.561</v>
      </c>
      <c r="G294" s="193">
        <f>72.96*180/200</f>
        <v>65.664</v>
      </c>
      <c r="H294" s="193">
        <f>0.019*180/200</f>
        <v>0.0171</v>
      </c>
      <c r="I294" s="193">
        <f>3.8*180/200</f>
        <v>3.42</v>
      </c>
      <c r="J294" s="193">
        <f>0.16*180/200</f>
        <v>0.14400000000000002</v>
      </c>
      <c r="K294" s="193">
        <v>0</v>
      </c>
      <c r="L294" s="193">
        <f>13.3*180/200</f>
        <v>11.97</v>
      </c>
      <c r="M294" s="193">
        <v>0</v>
      </c>
      <c r="N294" s="193">
        <f>2.66*180/200</f>
        <v>2.394</v>
      </c>
      <c r="O294" s="193">
        <v>0</v>
      </c>
    </row>
    <row r="295" spans="1:15" ht="15">
      <c r="A295" s="156"/>
      <c r="B295" s="191" t="s">
        <v>28</v>
      </c>
      <c r="C295" s="156"/>
      <c r="D295" s="32">
        <f aca="true" t="shared" si="41" ref="D295:O295">SUM(D294)</f>
        <v>0.855</v>
      </c>
      <c r="E295" s="32">
        <f t="shared" si="41"/>
        <v>0</v>
      </c>
      <c r="F295" s="32">
        <f t="shared" si="41"/>
        <v>15.561</v>
      </c>
      <c r="G295" s="32">
        <f t="shared" si="41"/>
        <v>65.664</v>
      </c>
      <c r="H295" s="32">
        <f t="shared" si="41"/>
        <v>0.0171</v>
      </c>
      <c r="I295" s="32">
        <f t="shared" si="41"/>
        <v>3.42</v>
      </c>
      <c r="J295" s="32">
        <f t="shared" si="41"/>
        <v>0.14400000000000002</v>
      </c>
      <c r="K295" s="32">
        <f t="shared" si="41"/>
        <v>0</v>
      </c>
      <c r="L295" s="32">
        <f t="shared" si="41"/>
        <v>11.97</v>
      </c>
      <c r="M295" s="32">
        <f t="shared" si="41"/>
        <v>0</v>
      </c>
      <c r="N295" s="32">
        <f t="shared" si="41"/>
        <v>2.394</v>
      </c>
      <c r="O295" s="32">
        <f t="shared" si="41"/>
        <v>0</v>
      </c>
    </row>
    <row r="296" spans="1:15" ht="15">
      <c r="A296" s="194"/>
      <c r="B296" s="195"/>
      <c r="C296" s="194"/>
      <c r="D296" s="182" t="s">
        <v>23</v>
      </c>
      <c r="E296" s="182"/>
      <c r="F296" s="182"/>
      <c r="G296" s="194"/>
      <c r="H296" s="194"/>
      <c r="I296" s="194"/>
      <c r="J296" s="194"/>
      <c r="K296" s="194"/>
      <c r="L296" s="194"/>
      <c r="M296" s="194"/>
      <c r="N296" s="194"/>
      <c r="O296" s="194"/>
    </row>
    <row r="297" spans="1:15" ht="14.25">
      <c r="A297" s="155">
        <v>70</v>
      </c>
      <c r="B297" s="187" t="s">
        <v>69</v>
      </c>
      <c r="C297" s="188">
        <v>40</v>
      </c>
      <c r="D297" s="125">
        <f>2.4*40/60</f>
        <v>1.6</v>
      </c>
      <c r="E297" s="125">
        <f>0.4*40/60</f>
        <v>0.26666666666666666</v>
      </c>
      <c r="F297" s="125">
        <f>11*40/60</f>
        <v>7.333333333333333</v>
      </c>
      <c r="G297" s="125">
        <f>50*40/60</f>
        <v>33.333333333333336</v>
      </c>
      <c r="H297" s="125">
        <f>46.6*40/60</f>
        <v>31.066666666666666</v>
      </c>
      <c r="I297" s="125">
        <f>0.1*40/60</f>
        <v>0.06666666666666667</v>
      </c>
      <c r="J297" s="127">
        <f>0.04*40/60</f>
        <v>0.02666666666666667</v>
      </c>
      <c r="K297" s="127">
        <v>0.34</v>
      </c>
      <c r="L297" s="127">
        <f>76.66*40/60</f>
        <v>51.10666666666666</v>
      </c>
      <c r="M297" s="127">
        <f>140*40/60</f>
        <v>93.33333333333333</v>
      </c>
      <c r="N297" s="127">
        <f>46.66*40/60</f>
        <v>31.106666666666666</v>
      </c>
      <c r="O297" s="127">
        <f>2*40/60</f>
        <v>1.3333333333333333</v>
      </c>
    </row>
    <row r="298" spans="1:15" ht="14.25">
      <c r="A298" s="151">
        <v>110</v>
      </c>
      <c r="B298" s="192" t="s">
        <v>56</v>
      </c>
      <c r="C298" s="158" t="s">
        <v>107</v>
      </c>
      <c r="D298" s="158">
        <v>1.5375</v>
      </c>
      <c r="E298" s="158">
        <v>5.025</v>
      </c>
      <c r="F298" s="158">
        <v>11.4</v>
      </c>
      <c r="G298" s="158">
        <v>97.5</v>
      </c>
      <c r="H298" s="159">
        <v>6.675</v>
      </c>
      <c r="I298" s="159">
        <v>6.15</v>
      </c>
      <c r="J298" s="159">
        <v>7.605</v>
      </c>
      <c r="K298" s="159">
        <v>0.225</v>
      </c>
      <c r="L298" s="159">
        <v>24.3</v>
      </c>
      <c r="M298" s="159">
        <v>55.5</v>
      </c>
      <c r="N298" s="159">
        <v>7.5</v>
      </c>
      <c r="O298" s="160">
        <v>0.225</v>
      </c>
    </row>
    <row r="299" spans="1:15" ht="14.25">
      <c r="A299" s="155" t="s">
        <v>47</v>
      </c>
      <c r="B299" s="196" t="s">
        <v>67</v>
      </c>
      <c r="C299" s="155" t="s">
        <v>63</v>
      </c>
      <c r="D299" s="155">
        <v>17.11</v>
      </c>
      <c r="E299" s="155">
        <v>20.95</v>
      </c>
      <c r="F299" s="155">
        <v>31.8</v>
      </c>
      <c r="G299" s="155">
        <v>383.52</v>
      </c>
      <c r="H299" s="156">
        <v>0.36</v>
      </c>
      <c r="I299" s="156">
        <v>40.68</v>
      </c>
      <c r="J299" s="156">
        <v>0.288</v>
      </c>
      <c r="K299" s="156">
        <v>0.68</v>
      </c>
      <c r="L299" s="156">
        <v>52.92</v>
      </c>
      <c r="M299" s="156">
        <v>417.6</v>
      </c>
      <c r="N299" s="156">
        <v>81.7</v>
      </c>
      <c r="O299" s="156">
        <v>5.07</v>
      </c>
    </row>
    <row r="300" spans="1:15" ht="14.25">
      <c r="A300" s="155"/>
      <c r="B300" s="190" t="s">
        <v>36</v>
      </c>
      <c r="C300" s="155">
        <v>150</v>
      </c>
      <c r="D300" s="157">
        <f>0.097*150/180</f>
        <v>0.08083333333333334</v>
      </c>
      <c r="E300" s="157">
        <f>0.039*150/180</f>
        <v>0.0325</v>
      </c>
      <c r="F300" s="157">
        <f>21.512*150/180</f>
        <v>17.92666666666667</v>
      </c>
      <c r="G300" s="157">
        <f>86.785*150/180</f>
        <v>72.32083333333334</v>
      </c>
      <c r="H300" s="157">
        <f>0.002*150/180</f>
        <v>0.0016666666666666666</v>
      </c>
      <c r="I300" s="157">
        <f>0.058*150/180</f>
        <v>0.04833333333333334</v>
      </c>
      <c r="J300" s="157">
        <f>1.358*150/180</f>
        <v>1.1316666666666668</v>
      </c>
      <c r="K300" s="157">
        <f>0.058*150/180</f>
        <v>0.04833333333333334</v>
      </c>
      <c r="L300" s="157">
        <f>7.584*150/180</f>
        <v>6.319999999999999</v>
      </c>
      <c r="M300" s="157">
        <f>4.462*150/180</f>
        <v>3.7183333333333333</v>
      </c>
      <c r="N300" s="157">
        <f>1.746*150/180</f>
        <v>1.4549999999999998</v>
      </c>
      <c r="O300" s="157">
        <f>0.157*150/180</f>
        <v>0.13083333333333333</v>
      </c>
    </row>
    <row r="301" spans="1:15" ht="14.25">
      <c r="A301" s="197"/>
      <c r="B301" s="190" t="s">
        <v>21</v>
      </c>
      <c r="C301" s="155" t="s">
        <v>22</v>
      </c>
      <c r="D301" s="155">
        <v>2.02</v>
      </c>
      <c r="E301" s="155">
        <v>0.4</v>
      </c>
      <c r="F301" s="155">
        <v>12.1</v>
      </c>
      <c r="G301" s="155">
        <v>65</v>
      </c>
      <c r="H301" s="156">
        <v>0.05</v>
      </c>
      <c r="I301" s="156">
        <v>0</v>
      </c>
      <c r="J301" s="156">
        <v>0</v>
      </c>
      <c r="K301" s="156">
        <v>0.45</v>
      </c>
      <c r="L301" s="156">
        <v>7.5</v>
      </c>
      <c r="M301" s="156">
        <v>24.68</v>
      </c>
      <c r="N301" s="156">
        <v>5.32</v>
      </c>
      <c r="O301" s="156">
        <v>0.45</v>
      </c>
    </row>
    <row r="302" spans="1:15" ht="15">
      <c r="A302" s="156"/>
      <c r="B302" s="191" t="s">
        <v>28</v>
      </c>
      <c r="C302" s="156"/>
      <c r="D302" s="32">
        <f aca="true" t="shared" si="42" ref="D302:O302">SUM(D297:D301)</f>
        <v>22.348333333333333</v>
      </c>
      <c r="E302" s="32">
        <f t="shared" si="42"/>
        <v>26.674166666666665</v>
      </c>
      <c r="F302" s="32">
        <f t="shared" si="42"/>
        <v>80.56</v>
      </c>
      <c r="G302" s="32">
        <f t="shared" si="42"/>
        <v>651.6741666666667</v>
      </c>
      <c r="H302" s="32">
        <f t="shared" si="42"/>
        <v>38.15333333333333</v>
      </c>
      <c r="I302" s="32">
        <f t="shared" si="42"/>
        <v>46.945</v>
      </c>
      <c r="J302" s="32">
        <f t="shared" si="42"/>
        <v>9.051333333333334</v>
      </c>
      <c r="K302" s="32">
        <f t="shared" si="42"/>
        <v>1.7433333333333334</v>
      </c>
      <c r="L302" s="32">
        <f t="shared" si="42"/>
        <v>142.14666666666665</v>
      </c>
      <c r="M302" s="32">
        <f t="shared" si="42"/>
        <v>594.8316666666667</v>
      </c>
      <c r="N302" s="32">
        <f t="shared" si="42"/>
        <v>127.08166666666668</v>
      </c>
      <c r="O302" s="32">
        <f t="shared" si="42"/>
        <v>7.209166666666667</v>
      </c>
    </row>
    <row r="303" spans="1:15" ht="15" customHeight="1">
      <c r="A303" s="206" t="s">
        <v>82</v>
      </c>
      <c r="B303" s="203"/>
      <c r="C303" s="203"/>
      <c r="D303" s="203"/>
      <c r="E303" s="203"/>
      <c r="F303" s="203"/>
      <c r="G303" s="203"/>
      <c r="H303" s="203"/>
      <c r="I303" s="203"/>
      <c r="J303" s="203"/>
      <c r="K303" s="203"/>
      <c r="L303" s="203"/>
      <c r="M303" s="203"/>
      <c r="N303" s="203"/>
      <c r="O303" s="204"/>
    </row>
    <row r="304" spans="1:15" ht="14.25">
      <c r="A304" s="156">
        <v>390</v>
      </c>
      <c r="B304" s="191" t="s">
        <v>102</v>
      </c>
      <c r="C304" s="156">
        <v>60</v>
      </c>
      <c r="D304" s="101">
        <f>14.8*60/80</f>
        <v>11.1</v>
      </c>
      <c r="E304" s="101">
        <f>8.8*60/80</f>
        <v>6.6</v>
      </c>
      <c r="F304" s="101">
        <f>15.3*60/80</f>
        <v>11.475</v>
      </c>
      <c r="G304" s="101">
        <f>196*60/80</f>
        <v>147</v>
      </c>
      <c r="H304" s="101">
        <f>0.07*60/80</f>
        <v>0.052500000000000005</v>
      </c>
      <c r="I304" s="101">
        <f>0.73*60/80</f>
        <v>0.5475</v>
      </c>
      <c r="J304" s="102">
        <f>40*60/80</f>
        <v>30</v>
      </c>
      <c r="K304" s="102">
        <f>17*60/80</f>
        <v>12.75</v>
      </c>
      <c r="L304" s="102">
        <f>84.1*60/80</f>
        <v>63.075</v>
      </c>
      <c r="M304" s="102">
        <f>121.7*60/80</f>
        <v>91.275</v>
      </c>
      <c r="N304" s="102">
        <f>32.2*60/80</f>
        <v>24.150000000000002</v>
      </c>
      <c r="O304" s="102">
        <f>0.64*60/80</f>
        <v>0.48</v>
      </c>
    </row>
    <row r="305" spans="1:15" ht="14.25">
      <c r="A305" s="156"/>
      <c r="B305" s="191" t="s">
        <v>21</v>
      </c>
      <c r="C305" s="156">
        <v>20</v>
      </c>
      <c r="D305" s="155">
        <f>2.02*20/30</f>
        <v>1.3466666666666667</v>
      </c>
      <c r="E305" s="155">
        <f>0.4*20/30</f>
        <v>0.26666666666666666</v>
      </c>
      <c r="F305" s="155">
        <f>12.1*20/30</f>
        <v>8.066666666666666</v>
      </c>
      <c r="G305" s="155">
        <f>65*20/30</f>
        <v>43.333333333333336</v>
      </c>
      <c r="H305" s="156">
        <f>0.05*20/30</f>
        <v>0.03333333333333333</v>
      </c>
      <c r="I305" s="156">
        <v>0</v>
      </c>
      <c r="J305" s="156">
        <v>0</v>
      </c>
      <c r="K305" s="156">
        <f>0.45*20/30</f>
        <v>0.3</v>
      </c>
      <c r="L305" s="156">
        <f>7.5*20/30</f>
        <v>5</v>
      </c>
      <c r="M305" s="156">
        <f>24.68*20/30</f>
        <v>16.453333333333333</v>
      </c>
      <c r="N305" s="156">
        <f>5.32*20/30</f>
        <v>3.546666666666667</v>
      </c>
      <c r="O305" s="156">
        <f>0.45*20/30</f>
        <v>0.3</v>
      </c>
    </row>
    <row r="306" spans="1:15" ht="14.25">
      <c r="A306" s="156">
        <v>686</v>
      </c>
      <c r="B306" s="191" t="s">
        <v>59</v>
      </c>
      <c r="C306" s="156">
        <v>150</v>
      </c>
      <c r="D306" s="155">
        <f>0.2*150/180</f>
        <v>0.16666666666666666</v>
      </c>
      <c r="E306" s="155">
        <v>0</v>
      </c>
      <c r="F306" s="155">
        <f>15*150/180</f>
        <v>12.5</v>
      </c>
      <c r="G306" s="155">
        <f>58*150/180</f>
        <v>48.333333333333336</v>
      </c>
      <c r="H306" s="156">
        <v>0</v>
      </c>
      <c r="I306" s="156">
        <f>2.2*150/180</f>
        <v>1.8333333333333333</v>
      </c>
      <c r="J306" s="156">
        <v>0</v>
      </c>
      <c r="K306" s="156">
        <v>0</v>
      </c>
      <c r="L306" s="156">
        <f>87*150/180</f>
        <v>72.5</v>
      </c>
      <c r="M306" s="156">
        <f>68*150/180</f>
        <v>56.666666666666664</v>
      </c>
      <c r="N306" s="156">
        <f>14*150/180</f>
        <v>11.666666666666666</v>
      </c>
      <c r="O306" s="156">
        <f>0.8*150/180</f>
        <v>0.6666666666666666</v>
      </c>
    </row>
    <row r="307" spans="1:15" ht="15">
      <c r="A307" s="156"/>
      <c r="B307" s="191" t="s">
        <v>28</v>
      </c>
      <c r="C307" s="156"/>
      <c r="D307" s="32">
        <f>SUM(D304:D306)</f>
        <v>12.613333333333332</v>
      </c>
      <c r="E307" s="32">
        <f aca="true" t="shared" si="43" ref="E307:O307">SUM(E304:E306)</f>
        <v>6.866666666666666</v>
      </c>
      <c r="F307" s="32">
        <f t="shared" si="43"/>
        <v>32.041666666666664</v>
      </c>
      <c r="G307" s="32">
        <f t="shared" si="43"/>
        <v>238.66666666666669</v>
      </c>
      <c r="H307" s="32">
        <f t="shared" si="43"/>
        <v>0.08583333333333334</v>
      </c>
      <c r="I307" s="32">
        <f t="shared" si="43"/>
        <v>2.3808333333333334</v>
      </c>
      <c r="J307" s="32">
        <f t="shared" si="43"/>
        <v>30</v>
      </c>
      <c r="K307" s="32">
        <f t="shared" si="43"/>
        <v>13.05</v>
      </c>
      <c r="L307" s="32">
        <f t="shared" si="43"/>
        <v>140.575</v>
      </c>
      <c r="M307" s="32">
        <f t="shared" si="43"/>
        <v>164.395</v>
      </c>
      <c r="N307" s="32">
        <f t="shared" si="43"/>
        <v>39.36333333333334</v>
      </c>
      <c r="O307" s="32">
        <f t="shared" si="43"/>
        <v>1.4466666666666668</v>
      </c>
    </row>
    <row r="308" spans="1:15" ht="15">
      <c r="A308" s="156"/>
      <c r="B308" s="198" t="s">
        <v>29</v>
      </c>
      <c r="C308" s="156"/>
      <c r="D308" s="32">
        <f>D292+D302+D307+D295</f>
        <v>42.72154999999999</v>
      </c>
      <c r="E308" s="32">
        <f aca="true" t="shared" si="44" ref="E308:O308">E292+E302+E307+E295</f>
        <v>39.7609</v>
      </c>
      <c r="F308" s="32">
        <f t="shared" si="44"/>
        <v>170.14168333333333</v>
      </c>
      <c r="G308" s="32">
        <f t="shared" si="44"/>
        <v>1195.393</v>
      </c>
      <c r="H308" s="32">
        <f t="shared" si="44"/>
        <v>38.28959999999999</v>
      </c>
      <c r="I308" s="32">
        <f t="shared" si="44"/>
        <v>56.07516666666667</v>
      </c>
      <c r="J308" s="32">
        <f t="shared" si="44"/>
        <v>39.52657833333333</v>
      </c>
      <c r="K308" s="32">
        <f t="shared" si="44"/>
        <v>15.187003333333333</v>
      </c>
      <c r="L308" s="32">
        <f t="shared" si="44"/>
        <v>372.37977166666667</v>
      </c>
      <c r="M308" s="32">
        <f t="shared" si="44"/>
        <v>832.3633181666667</v>
      </c>
      <c r="N308" s="32">
        <f t="shared" si="44"/>
        <v>184.07783333333336</v>
      </c>
      <c r="O308" s="32">
        <f t="shared" si="44"/>
        <v>33.2882</v>
      </c>
    </row>
    <row r="309" spans="1:15" ht="15">
      <c r="A309" s="7"/>
      <c r="B309" s="2"/>
      <c r="C309" s="7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1:15" ht="208.5" customHeight="1">
      <c r="A310" s="7"/>
      <c r="B310" s="2"/>
      <c r="C310" s="7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1:15" ht="16.5" customHeight="1">
      <c r="A311" s="7"/>
      <c r="B311" s="2"/>
      <c r="C311" s="7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1:15" ht="7.5" customHeight="1">
      <c r="A312" s="7"/>
      <c r="B312" s="2"/>
      <c r="C312" s="7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1:15" ht="15" customHeight="1">
      <c r="A313" s="7"/>
      <c r="B313" s="2"/>
      <c r="C313" s="58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1:15" ht="30" customHeight="1">
      <c r="A314" s="207" t="s">
        <v>113</v>
      </c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7"/>
    </row>
    <row r="315" spans="1:15" ht="15" customHeight="1">
      <c r="A315" s="7"/>
      <c r="B315" s="2"/>
      <c r="C315" s="58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1:15" ht="14.25">
      <c r="A316" s="10" t="s">
        <v>0</v>
      </c>
      <c r="B316" s="9" t="s">
        <v>1</v>
      </c>
      <c r="C316" s="10" t="s">
        <v>2</v>
      </c>
      <c r="D316" s="208" t="s">
        <v>3</v>
      </c>
      <c r="E316" s="209"/>
      <c r="F316" s="210"/>
      <c r="G316" s="10" t="s">
        <v>4</v>
      </c>
      <c r="H316" s="208" t="s">
        <v>5</v>
      </c>
      <c r="I316" s="209"/>
      <c r="J316" s="209"/>
      <c r="K316" s="210"/>
      <c r="L316" s="208" t="s">
        <v>6</v>
      </c>
      <c r="M316" s="209"/>
      <c r="N316" s="209"/>
      <c r="O316" s="210"/>
    </row>
    <row r="317" spans="1:15" ht="18.75">
      <c r="A317" s="13" t="s">
        <v>7</v>
      </c>
      <c r="B317" s="14"/>
      <c r="C317" s="13"/>
      <c r="D317" s="13" t="s">
        <v>8</v>
      </c>
      <c r="E317" s="13" t="s">
        <v>9</v>
      </c>
      <c r="F317" s="13" t="s">
        <v>10</v>
      </c>
      <c r="G317" s="13" t="s">
        <v>11</v>
      </c>
      <c r="H317" s="15" t="s">
        <v>68</v>
      </c>
      <c r="I317" s="15" t="s">
        <v>12</v>
      </c>
      <c r="J317" s="15" t="s">
        <v>13</v>
      </c>
      <c r="K317" s="15" t="s">
        <v>14</v>
      </c>
      <c r="L317" s="16" t="s">
        <v>15</v>
      </c>
      <c r="M317" s="16" t="s">
        <v>16</v>
      </c>
      <c r="N317" s="16" t="s">
        <v>17</v>
      </c>
      <c r="O317" s="16" t="s">
        <v>18</v>
      </c>
    </row>
    <row r="318" spans="1:15" ht="14.25">
      <c r="A318" s="15">
        <v>1</v>
      </c>
      <c r="B318" s="11">
        <v>2</v>
      </c>
      <c r="C318" s="12">
        <v>3</v>
      </c>
      <c r="D318" s="11">
        <v>4</v>
      </c>
      <c r="E318" s="11">
        <v>5</v>
      </c>
      <c r="F318" s="11">
        <v>6</v>
      </c>
      <c r="G318" s="11">
        <v>7</v>
      </c>
      <c r="H318" s="15">
        <v>8</v>
      </c>
      <c r="I318" s="15">
        <v>9</v>
      </c>
      <c r="J318" s="15">
        <v>10</v>
      </c>
      <c r="K318" s="15">
        <v>11</v>
      </c>
      <c r="L318" s="16">
        <v>12</v>
      </c>
      <c r="M318" s="16">
        <v>13</v>
      </c>
      <c r="N318" s="16">
        <v>14</v>
      </c>
      <c r="O318" s="16">
        <v>15</v>
      </c>
    </row>
    <row r="319" spans="1:15" ht="15">
      <c r="A319" s="20"/>
      <c r="B319" s="21" t="s">
        <v>46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</row>
    <row r="320" spans="1:15" ht="15">
      <c r="A320" s="19" t="s">
        <v>19</v>
      </c>
      <c r="B320" s="21"/>
      <c r="C320" s="20"/>
      <c r="D320" s="211" t="s">
        <v>26</v>
      </c>
      <c r="E320" s="211"/>
      <c r="F320" s="19"/>
      <c r="G320" s="20"/>
      <c r="H320" s="20"/>
      <c r="I320" s="20"/>
      <c r="J320" s="20"/>
      <c r="K320" s="20"/>
      <c r="L320" s="20"/>
      <c r="M320" s="20"/>
      <c r="N320" s="20"/>
      <c r="O320" s="20"/>
    </row>
    <row r="321" spans="1:15" ht="27.75" customHeight="1">
      <c r="A321" s="219" t="s">
        <v>62</v>
      </c>
      <c r="B321" s="2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</row>
    <row r="322" spans="1:15" ht="15">
      <c r="A322" s="35"/>
      <c r="B322" s="59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</row>
    <row r="323" spans="1:15" ht="14.25">
      <c r="A323" s="17">
        <v>161</v>
      </c>
      <c r="B323" s="91" t="s">
        <v>103</v>
      </c>
      <c r="C323" s="92">
        <v>170</v>
      </c>
      <c r="D323" s="125">
        <v>7.16</v>
      </c>
      <c r="E323" s="125">
        <v>10.5</v>
      </c>
      <c r="F323" s="125">
        <v>28.9</v>
      </c>
      <c r="G323" s="125">
        <v>239</v>
      </c>
      <c r="H323" s="125">
        <v>0.13</v>
      </c>
      <c r="I323" s="125">
        <v>0.24</v>
      </c>
      <c r="J323" s="127">
        <v>68.75</v>
      </c>
      <c r="K323" s="127">
        <v>0.69</v>
      </c>
      <c r="L323" s="127">
        <v>148.93</v>
      </c>
      <c r="M323" s="127">
        <v>185.11</v>
      </c>
      <c r="N323" s="127">
        <v>21.3</v>
      </c>
      <c r="O323" s="127">
        <v>7.17</v>
      </c>
    </row>
    <row r="324" spans="1:15" ht="14.25">
      <c r="A324" s="39"/>
      <c r="B324" s="28" t="s">
        <v>21</v>
      </c>
      <c r="C324" s="103">
        <v>20</v>
      </c>
      <c r="D324" s="155">
        <f>2.02*20/30</f>
        <v>1.3466666666666667</v>
      </c>
      <c r="E324" s="155">
        <f>0.4*20/30</f>
        <v>0.26666666666666666</v>
      </c>
      <c r="F324" s="155">
        <f>12.1*20/30</f>
        <v>8.066666666666666</v>
      </c>
      <c r="G324" s="155">
        <f>65*20/30</f>
        <v>43.333333333333336</v>
      </c>
      <c r="H324" s="156">
        <f>0.05*20/30</f>
        <v>0.03333333333333333</v>
      </c>
      <c r="I324" s="156">
        <v>0</v>
      </c>
      <c r="J324" s="156">
        <v>0</v>
      </c>
      <c r="K324" s="156">
        <f>0.45*20/30</f>
        <v>0.3</v>
      </c>
      <c r="L324" s="156">
        <f>7.5*20/30</f>
        <v>5</v>
      </c>
      <c r="M324" s="156">
        <f>24.68*20/30</f>
        <v>16.453333333333333</v>
      </c>
      <c r="N324" s="156">
        <f>5.32*20/30</f>
        <v>3.546666666666667</v>
      </c>
      <c r="O324" s="156">
        <f>0.45*20/30</f>
        <v>0.3</v>
      </c>
    </row>
    <row r="325" spans="1:15" ht="14.25">
      <c r="A325" s="39">
        <v>692</v>
      </c>
      <c r="B325" s="27" t="s">
        <v>104</v>
      </c>
      <c r="C325" s="29">
        <v>150</v>
      </c>
      <c r="D325" s="101">
        <v>3.77</v>
      </c>
      <c r="E325" s="101">
        <v>0.16</v>
      </c>
      <c r="F325" s="101">
        <v>25.78</v>
      </c>
      <c r="G325" s="101">
        <v>153.28</v>
      </c>
      <c r="H325" s="101">
        <v>0.02</v>
      </c>
      <c r="I325" s="101">
        <v>0.65</v>
      </c>
      <c r="J325" s="102">
        <v>0.01</v>
      </c>
      <c r="K325" s="102">
        <v>0</v>
      </c>
      <c r="L325" s="102">
        <v>60.4</v>
      </c>
      <c r="M325" s="102">
        <v>45</v>
      </c>
      <c r="N325" s="102">
        <v>7</v>
      </c>
      <c r="O325" s="102">
        <v>0.9</v>
      </c>
    </row>
    <row r="326" spans="1:15" ht="15">
      <c r="A326" s="17"/>
      <c r="B326" s="31" t="s">
        <v>28</v>
      </c>
      <c r="C326" s="17"/>
      <c r="D326" s="32">
        <f aca="true" t="shared" si="45" ref="D326:O326">SUM(D323:D325)</f>
        <v>12.276666666666667</v>
      </c>
      <c r="E326" s="32">
        <f t="shared" si="45"/>
        <v>10.926666666666668</v>
      </c>
      <c r="F326" s="32">
        <f t="shared" si="45"/>
        <v>62.74666666666667</v>
      </c>
      <c r="G326" s="32">
        <f t="shared" si="45"/>
        <v>435.61333333333334</v>
      </c>
      <c r="H326" s="32">
        <f t="shared" si="45"/>
        <v>0.18333333333333332</v>
      </c>
      <c r="I326" s="32">
        <f t="shared" si="45"/>
        <v>0.89</v>
      </c>
      <c r="J326" s="32">
        <f t="shared" si="45"/>
        <v>68.76</v>
      </c>
      <c r="K326" s="32">
        <f t="shared" si="45"/>
        <v>0.99</v>
      </c>
      <c r="L326" s="32">
        <f t="shared" si="45"/>
        <v>214.33</v>
      </c>
      <c r="M326" s="32">
        <f t="shared" si="45"/>
        <v>246.56333333333333</v>
      </c>
      <c r="N326" s="32">
        <f t="shared" si="45"/>
        <v>31.846666666666668</v>
      </c>
      <c r="O326" s="32">
        <f t="shared" si="45"/>
        <v>8.37</v>
      </c>
    </row>
    <row r="327" spans="1:15" ht="15" customHeight="1">
      <c r="A327" s="199" t="s">
        <v>114</v>
      </c>
      <c r="B327" s="200"/>
      <c r="C327" s="200"/>
      <c r="D327" s="200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1"/>
    </row>
    <row r="328" spans="1:15" ht="14.25">
      <c r="A328" s="26"/>
      <c r="B328" s="27" t="s">
        <v>115</v>
      </c>
      <c r="C328" s="29">
        <v>100</v>
      </c>
      <c r="D328" s="183">
        <v>4.35</v>
      </c>
      <c r="E328" s="183">
        <v>4.8</v>
      </c>
      <c r="F328" s="183">
        <v>6</v>
      </c>
      <c r="G328" s="183">
        <v>88.5</v>
      </c>
      <c r="H328" s="183">
        <v>0.15</v>
      </c>
      <c r="I328" s="183">
        <v>1.05</v>
      </c>
      <c r="J328" s="183">
        <v>0</v>
      </c>
      <c r="K328" s="183">
        <v>0</v>
      </c>
      <c r="L328" s="183">
        <v>180</v>
      </c>
      <c r="M328" s="183">
        <v>142.5</v>
      </c>
      <c r="N328" s="183">
        <v>21</v>
      </c>
      <c r="O328" s="183">
        <v>0.15</v>
      </c>
    </row>
    <row r="329" spans="1:15" ht="15">
      <c r="A329" s="17"/>
      <c r="B329" s="31" t="s">
        <v>28</v>
      </c>
      <c r="C329" s="17"/>
      <c r="D329" s="147">
        <f aca="true" t="shared" si="46" ref="D329:O329">SUM(D328)</f>
        <v>4.35</v>
      </c>
      <c r="E329" s="147">
        <f t="shared" si="46"/>
        <v>4.8</v>
      </c>
      <c r="F329" s="147">
        <f t="shared" si="46"/>
        <v>6</v>
      </c>
      <c r="G329" s="147">
        <f t="shared" si="46"/>
        <v>88.5</v>
      </c>
      <c r="H329" s="147">
        <f t="shared" si="46"/>
        <v>0.15</v>
      </c>
      <c r="I329" s="147">
        <f t="shared" si="46"/>
        <v>1.05</v>
      </c>
      <c r="J329" s="147">
        <f t="shared" si="46"/>
        <v>0</v>
      </c>
      <c r="K329" s="147">
        <f t="shared" si="46"/>
        <v>0</v>
      </c>
      <c r="L329" s="147">
        <f t="shared" si="46"/>
        <v>180</v>
      </c>
      <c r="M329" s="147">
        <f t="shared" si="46"/>
        <v>142.5</v>
      </c>
      <c r="N329" s="147">
        <f t="shared" si="46"/>
        <v>21</v>
      </c>
      <c r="O329" s="147">
        <f t="shared" si="46"/>
        <v>0.15</v>
      </c>
    </row>
    <row r="330" spans="1:15" ht="15">
      <c r="A330" s="7"/>
      <c r="B330" s="2"/>
      <c r="C330" s="7"/>
      <c r="D330" s="35" t="s">
        <v>23</v>
      </c>
      <c r="E330" s="35"/>
      <c r="F330" s="35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4.25">
      <c r="A331" s="29">
        <v>70</v>
      </c>
      <c r="B331" s="23" t="s">
        <v>72</v>
      </c>
      <c r="C331" s="52">
        <v>40</v>
      </c>
      <c r="D331" s="125">
        <f>2.4*40/60</f>
        <v>1.6</v>
      </c>
      <c r="E331" s="125">
        <f>0.4*40/60</f>
        <v>0.26666666666666666</v>
      </c>
      <c r="F331" s="125">
        <f>11*40/60</f>
        <v>7.333333333333333</v>
      </c>
      <c r="G331" s="125">
        <f>50*40/60</f>
        <v>33.333333333333336</v>
      </c>
      <c r="H331" s="125">
        <f>46.6*40/60</f>
        <v>31.066666666666666</v>
      </c>
      <c r="I331" s="125">
        <f>0.1*40/60</f>
        <v>0.06666666666666667</v>
      </c>
      <c r="J331" s="127">
        <f>0.04*40/60</f>
        <v>0.02666666666666667</v>
      </c>
      <c r="K331" s="127">
        <v>0.34</v>
      </c>
      <c r="L331" s="127">
        <f>76.66*40/60</f>
        <v>51.10666666666666</v>
      </c>
      <c r="M331" s="127">
        <f>140*40/60</f>
        <v>93.33333333333333</v>
      </c>
      <c r="N331" s="127">
        <f>46.66*40/60</f>
        <v>31.106666666666666</v>
      </c>
      <c r="O331" s="127">
        <f>2*40/60</f>
        <v>1.3333333333333333</v>
      </c>
    </row>
    <row r="332" spans="1:15" ht="14.25">
      <c r="A332" s="29">
        <v>132</v>
      </c>
      <c r="B332" s="37" t="s">
        <v>78</v>
      </c>
      <c r="C332" s="29" t="s">
        <v>107</v>
      </c>
      <c r="D332" s="155">
        <v>2.25</v>
      </c>
      <c r="E332" s="155">
        <v>3.375</v>
      </c>
      <c r="F332" s="155">
        <v>15.075</v>
      </c>
      <c r="G332" s="155">
        <v>101.25</v>
      </c>
      <c r="H332" s="156">
        <v>0</v>
      </c>
      <c r="I332" s="156">
        <v>3.525</v>
      </c>
      <c r="J332" s="156">
        <v>0</v>
      </c>
      <c r="K332" s="156">
        <v>0.225</v>
      </c>
      <c r="L332" s="156">
        <v>13.5</v>
      </c>
      <c r="M332" s="156">
        <v>57.75</v>
      </c>
      <c r="N332" s="156">
        <v>9.75</v>
      </c>
      <c r="O332" s="156">
        <v>0.3</v>
      </c>
    </row>
    <row r="333" spans="1:15" ht="14.25">
      <c r="A333" s="29"/>
      <c r="B333" s="28" t="s">
        <v>52</v>
      </c>
      <c r="C333" s="29">
        <v>60</v>
      </c>
      <c r="D333" s="155">
        <v>9.27</v>
      </c>
      <c r="E333" s="155">
        <v>7.897499999999999</v>
      </c>
      <c r="F333" s="155">
        <v>9.764999999999999</v>
      </c>
      <c r="G333" s="155">
        <v>192.29999999999998</v>
      </c>
      <c r="H333" s="156">
        <v>0.045</v>
      </c>
      <c r="I333" s="156">
        <v>0.3075</v>
      </c>
      <c r="J333" s="156">
        <v>48.84</v>
      </c>
      <c r="K333" s="156">
        <v>0.5325</v>
      </c>
      <c r="L333" s="156">
        <v>47.67</v>
      </c>
      <c r="M333" s="156">
        <v>47.114999999999995</v>
      </c>
      <c r="N333" s="156">
        <v>9.6975</v>
      </c>
      <c r="O333" s="156">
        <v>17.384999999999998</v>
      </c>
    </row>
    <row r="334" spans="1:15" ht="14.25">
      <c r="A334" s="39">
        <v>520</v>
      </c>
      <c r="B334" s="37" t="s">
        <v>64</v>
      </c>
      <c r="C334" s="29" t="s">
        <v>108</v>
      </c>
      <c r="D334" s="155">
        <v>4</v>
      </c>
      <c r="E334" s="155">
        <v>8.5</v>
      </c>
      <c r="F334" s="155">
        <v>27.5</v>
      </c>
      <c r="G334" s="155">
        <v>203.75</v>
      </c>
      <c r="H334" s="156">
        <v>0.25</v>
      </c>
      <c r="I334" s="156">
        <v>8.375</v>
      </c>
      <c r="J334" s="156">
        <v>0.0125</v>
      </c>
      <c r="K334" s="156">
        <v>0.25</v>
      </c>
      <c r="L334" s="156">
        <v>60</v>
      </c>
      <c r="M334" s="156">
        <v>126</v>
      </c>
      <c r="N334" s="156">
        <v>45</v>
      </c>
      <c r="O334" s="156">
        <v>1.5</v>
      </c>
    </row>
    <row r="335" spans="1:15" ht="14.25">
      <c r="A335" s="29">
        <v>638</v>
      </c>
      <c r="B335" s="124" t="s">
        <v>31</v>
      </c>
      <c r="C335" s="29">
        <v>150</v>
      </c>
      <c r="D335" s="155">
        <v>0.4</v>
      </c>
      <c r="E335" s="155">
        <v>0</v>
      </c>
      <c r="F335" s="155">
        <v>27.4</v>
      </c>
      <c r="G335" s="155">
        <v>106</v>
      </c>
      <c r="H335" s="156">
        <v>0</v>
      </c>
      <c r="I335" s="156">
        <v>2.8</v>
      </c>
      <c r="J335" s="156">
        <v>0</v>
      </c>
      <c r="K335" s="156">
        <v>0.2</v>
      </c>
      <c r="L335" s="156">
        <v>18</v>
      </c>
      <c r="M335" s="156">
        <v>10</v>
      </c>
      <c r="N335" s="156">
        <v>4</v>
      </c>
      <c r="O335" s="156">
        <v>0.6</v>
      </c>
    </row>
    <row r="336" spans="1:15" ht="14.25">
      <c r="A336" s="39"/>
      <c r="B336" s="28" t="s">
        <v>21</v>
      </c>
      <c r="C336" s="30" t="s">
        <v>22</v>
      </c>
      <c r="D336" s="155">
        <v>2.02</v>
      </c>
      <c r="E336" s="155">
        <v>0.4</v>
      </c>
      <c r="F336" s="155">
        <v>12.1</v>
      </c>
      <c r="G336" s="155">
        <v>65</v>
      </c>
      <c r="H336" s="156">
        <v>0.05</v>
      </c>
      <c r="I336" s="156">
        <v>0</v>
      </c>
      <c r="J336" s="156">
        <v>0</v>
      </c>
      <c r="K336" s="156">
        <v>0.45</v>
      </c>
      <c r="L336" s="156">
        <v>7.5</v>
      </c>
      <c r="M336" s="156">
        <v>24.68</v>
      </c>
      <c r="N336" s="156">
        <v>5.32</v>
      </c>
      <c r="O336" s="156">
        <v>0.45</v>
      </c>
    </row>
    <row r="337" spans="1:18" ht="15">
      <c r="A337" s="17"/>
      <c r="B337" s="31" t="s">
        <v>28</v>
      </c>
      <c r="C337" s="17"/>
      <c r="D337" s="32">
        <f aca="true" t="shared" si="47" ref="D337:O337">SUM(D331:D336)</f>
        <v>19.539999999999996</v>
      </c>
      <c r="E337" s="32">
        <f t="shared" si="47"/>
        <v>20.439166666666665</v>
      </c>
      <c r="F337" s="32">
        <f t="shared" si="47"/>
        <v>99.17333333333332</v>
      </c>
      <c r="G337" s="32">
        <f t="shared" si="47"/>
        <v>701.6333333333333</v>
      </c>
      <c r="H337" s="32">
        <f t="shared" si="47"/>
        <v>31.41166666666667</v>
      </c>
      <c r="I337" s="32">
        <f t="shared" si="47"/>
        <v>15.074166666666667</v>
      </c>
      <c r="J337" s="32">
        <f t="shared" si="47"/>
        <v>48.87916666666667</v>
      </c>
      <c r="K337" s="32">
        <f t="shared" si="47"/>
        <v>1.9975</v>
      </c>
      <c r="L337" s="32">
        <f t="shared" si="47"/>
        <v>197.77666666666664</v>
      </c>
      <c r="M337" s="32">
        <f t="shared" si="47"/>
        <v>358.87833333333333</v>
      </c>
      <c r="N337" s="32">
        <f t="shared" si="47"/>
        <v>104.87416666666667</v>
      </c>
      <c r="O337" s="32">
        <f t="shared" si="47"/>
        <v>21.56833333333333</v>
      </c>
      <c r="R337" s="115"/>
    </row>
    <row r="338" spans="1:15" ht="15" customHeight="1">
      <c r="A338" s="205" t="s">
        <v>82</v>
      </c>
      <c r="B338" s="200"/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1"/>
    </row>
    <row r="339" spans="1:18" ht="15">
      <c r="A339" s="118"/>
      <c r="B339" s="31" t="s">
        <v>49</v>
      </c>
      <c r="C339" s="17">
        <v>30</v>
      </c>
      <c r="D339" s="162">
        <f>5.8*30/40</f>
        <v>4.35</v>
      </c>
      <c r="E339" s="162">
        <f>22.6*30/40</f>
        <v>16.95</v>
      </c>
      <c r="F339" s="162">
        <f>20.8*30/40</f>
        <v>15.6</v>
      </c>
      <c r="G339" s="162">
        <f>156*30/40</f>
        <v>117</v>
      </c>
      <c r="H339" s="162">
        <v>0</v>
      </c>
      <c r="I339" s="162">
        <f>2.2*30/40</f>
        <v>1.65</v>
      </c>
      <c r="J339" s="163">
        <v>0</v>
      </c>
      <c r="K339" s="163">
        <v>0</v>
      </c>
      <c r="L339" s="163">
        <f>16*30/40</f>
        <v>12</v>
      </c>
      <c r="M339" s="163">
        <f>8*30/40</f>
        <v>6</v>
      </c>
      <c r="N339" s="163">
        <f>6*30/40</f>
        <v>4.5</v>
      </c>
      <c r="O339" s="163">
        <f>0.8*30/40</f>
        <v>0.6</v>
      </c>
      <c r="R339" s="115"/>
    </row>
    <row r="340" spans="1:18" ht="15">
      <c r="A340" s="29">
        <v>685</v>
      </c>
      <c r="B340" s="31" t="s">
        <v>20</v>
      </c>
      <c r="C340" s="17">
        <v>150</v>
      </c>
      <c r="D340" s="164">
        <f>0.2*150/180</f>
        <v>0.16666666666666666</v>
      </c>
      <c r="E340" s="164">
        <v>0</v>
      </c>
      <c r="F340" s="164">
        <f>15*150/180</f>
        <v>12.5</v>
      </c>
      <c r="G340" s="164">
        <f>58*150/180</f>
        <v>48.333333333333336</v>
      </c>
      <c r="H340" s="165">
        <v>0</v>
      </c>
      <c r="I340" s="165">
        <f>2.2*150/180</f>
        <v>1.8333333333333333</v>
      </c>
      <c r="J340" s="165">
        <v>0</v>
      </c>
      <c r="K340" s="165">
        <v>0</v>
      </c>
      <c r="L340" s="165">
        <f>87*150/180</f>
        <v>72.5</v>
      </c>
      <c r="M340" s="165">
        <f>68*150/180</f>
        <v>56.666666666666664</v>
      </c>
      <c r="N340" s="165">
        <f>14*150/180</f>
        <v>11.666666666666666</v>
      </c>
      <c r="O340" s="165">
        <f>0.8*150/180</f>
        <v>0.6666666666666666</v>
      </c>
      <c r="R340" s="115"/>
    </row>
    <row r="341" spans="1:18" ht="15">
      <c r="A341" s="118"/>
      <c r="B341" s="31" t="s">
        <v>81</v>
      </c>
      <c r="C341" s="17">
        <v>100</v>
      </c>
      <c r="D341" s="162">
        <v>0.5333333333333333</v>
      </c>
      <c r="E341" s="162">
        <v>0.5333333333333333</v>
      </c>
      <c r="F341" s="162">
        <v>13.066666666666668</v>
      </c>
      <c r="G341" s="162">
        <v>58.666666666666664</v>
      </c>
      <c r="H341" s="162">
        <v>0.04</v>
      </c>
      <c r="I341" s="162">
        <v>13.333333333333334</v>
      </c>
      <c r="J341" s="163">
        <v>0</v>
      </c>
      <c r="K341" s="163">
        <v>0</v>
      </c>
      <c r="L341" s="163">
        <v>21.333333333333332</v>
      </c>
      <c r="M341" s="163">
        <v>22</v>
      </c>
      <c r="N341" s="163">
        <v>12</v>
      </c>
      <c r="O341" s="163">
        <v>2.9333333333333336</v>
      </c>
      <c r="R341" s="115"/>
    </row>
    <row r="342" spans="1:18" ht="15">
      <c r="A342" s="118"/>
      <c r="B342" s="31" t="s">
        <v>28</v>
      </c>
      <c r="C342" s="17"/>
      <c r="D342" s="166">
        <f>SUM(D339:D341)</f>
        <v>5.05</v>
      </c>
      <c r="E342" s="166">
        <f aca="true" t="shared" si="48" ref="E342:O342">SUM(E339:E341)</f>
        <v>17.483333333333334</v>
      </c>
      <c r="F342" s="166">
        <f t="shared" si="48"/>
        <v>41.16666666666667</v>
      </c>
      <c r="G342" s="166">
        <f t="shared" si="48"/>
        <v>224</v>
      </c>
      <c r="H342" s="166">
        <f t="shared" si="48"/>
        <v>0.04</v>
      </c>
      <c r="I342" s="166">
        <f t="shared" si="48"/>
        <v>16.816666666666666</v>
      </c>
      <c r="J342" s="166">
        <f t="shared" si="48"/>
        <v>0</v>
      </c>
      <c r="K342" s="166">
        <f t="shared" si="48"/>
        <v>0</v>
      </c>
      <c r="L342" s="166">
        <f t="shared" si="48"/>
        <v>105.83333333333333</v>
      </c>
      <c r="M342" s="166">
        <f t="shared" si="48"/>
        <v>84.66666666666666</v>
      </c>
      <c r="N342" s="166">
        <f t="shared" si="48"/>
        <v>28.166666666666664</v>
      </c>
      <c r="O342" s="166">
        <f t="shared" si="48"/>
        <v>4.2</v>
      </c>
      <c r="R342" s="115"/>
    </row>
    <row r="343" spans="1:15" ht="15">
      <c r="A343" s="118"/>
      <c r="B343" s="22" t="s">
        <v>29</v>
      </c>
      <c r="C343" s="17"/>
      <c r="D343" s="166">
        <f>D326+D337+D342+D329</f>
        <v>41.21666666666666</v>
      </c>
      <c r="E343" s="166">
        <f aca="true" t="shared" si="49" ref="E343:O343">E326+E337+E342+E329</f>
        <v>53.649166666666666</v>
      </c>
      <c r="F343" s="166">
        <f t="shared" si="49"/>
        <v>209.08666666666664</v>
      </c>
      <c r="G343" s="166">
        <f t="shared" si="49"/>
        <v>1449.7466666666667</v>
      </c>
      <c r="H343" s="166">
        <f t="shared" si="49"/>
        <v>31.785</v>
      </c>
      <c r="I343" s="166">
        <f t="shared" si="49"/>
        <v>33.83083333333333</v>
      </c>
      <c r="J343" s="166">
        <f t="shared" si="49"/>
        <v>117.63916666666668</v>
      </c>
      <c r="K343" s="166">
        <f t="shared" si="49"/>
        <v>2.9875</v>
      </c>
      <c r="L343" s="166">
        <f t="shared" si="49"/>
        <v>697.94</v>
      </c>
      <c r="M343" s="166">
        <f t="shared" si="49"/>
        <v>832.6083333333332</v>
      </c>
      <c r="N343" s="166">
        <f t="shared" si="49"/>
        <v>185.8875</v>
      </c>
      <c r="O343" s="166">
        <f t="shared" si="49"/>
        <v>34.288333333333334</v>
      </c>
    </row>
    <row r="344" spans="1:15" ht="15">
      <c r="A344" s="17"/>
      <c r="B344" s="93" t="s">
        <v>61</v>
      </c>
      <c r="C344" s="17"/>
      <c r="D344" s="166">
        <f>D343+D308+D274+D239+D202+D169+D135+D99+D65+D31</f>
        <v>426.48622237762225</v>
      </c>
      <c r="E344" s="166">
        <f>E343+E308+E274+E239+E202+E169+E135+E99+E65+E31</f>
        <v>466.6432912587412</v>
      </c>
      <c r="F344" s="166">
        <f>F343+F308+F274+F239+F202+F169+F135+F99+F65+F31</f>
        <v>1862.1227454545453</v>
      </c>
      <c r="G344" s="166">
        <f>G343+G308+G274+G239+G202+G169+G135+G99+G65+G31</f>
        <v>13209.861972027971</v>
      </c>
      <c r="H344" s="166"/>
      <c r="I344" s="166"/>
      <c r="J344" s="166"/>
      <c r="K344" s="166"/>
      <c r="L344" s="166"/>
      <c r="M344" s="166"/>
      <c r="N344" s="166"/>
      <c r="O344" s="166"/>
    </row>
    <row r="345" spans="1:17" ht="15">
      <c r="A345" s="17"/>
      <c r="B345" s="93" t="s">
        <v>32</v>
      </c>
      <c r="C345" s="17"/>
      <c r="D345" s="166">
        <f>D344/10</f>
        <v>42.648622237762225</v>
      </c>
      <c r="E345" s="166">
        <f>E344/10</f>
        <v>46.66432912587412</v>
      </c>
      <c r="F345" s="166">
        <f>F344/10</f>
        <v>186.21227454545453</v>
      </c>
      <c r="G345" s="166">
        <f>G344/10</f>
        <v>1320.986197202797</v>
      </c>
      <c r="H345" s="166"/>
      <c r="I345" s="166"/>
      <c r="J345" s="166"/>
      <c r="K345" s="166"/>
      <c r="L345" s="166"/>
      <c r="M345" s="166"/>
      <c r="N345" s="166"/>
      <c r="O345" s="166"/>
      <c r="P345" s="90"/>
      <c r="Q345" s="105"/>
    </row>
    <row r="346" spans="1:17" ht="15">
      <c r="A346" s="7"/>
      <c r="B346" s="94"/>
      <c r="C346" s="7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90"/>
      <c r="Q346" s="105"/>
    </row>
    <row r="347" spans="1:17" ht="15">
      <c r="A347" s="7"/>
      <c r="B347" s="94"/>
      <c r="C347" s="7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90"/>
      <c r="Q347" s="105"/>
    </row>
    <row r="348" spans="1:17" ht="178.5" customHeight="1">
      <c r="A348" s="7"/>
      <c r="B348" s="94"/>
      <c r="C348" s="7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90"/>
      <c r="Q348" s="105"/>
    </row>
    <row r="349" spans="1:17" ht="15">
      <c r="A349" s="7"/>
      <c r="B349" s="2"/>
      <c r="C349" s="58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90"/>
      <c r="Q349" s="105"/>
    </row>
    <row r="350" spans="1:15" ht="15">
      <c r="A350" s="7"/>
      <c r="B350" s="2"/>
      <c r="C350" s="58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1:15" ht="41.25" customHeight="1">
      <c r="A351" s="7"/>
      <c r="B351" s="2"/>
      <c r="C351" s="58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1:15" ht="15">
      <c r="A352" s="7"/>
      <c r="B352" s="2"/>
      <c r="C352" s="35"/>
      <c r="D352" s="35"/>
      <c r="E352" s="35"/>
      <c r="F352" s="35"/>
      <c r="G352" s="35"/>
      <c r="H352" s="7"/>
      <c r="I352" s="7"/>
      <c r="J352" s="7"/>
      <c r="K352" s="7"/>
      <c r="L352" s="7"/>
      <c r="M352" s="7"/>
      <c r="N352" s="7"/>
      <c r="O352" s="7"/>
    </row>
    <row r="353" spans="1:15" ht="15">
      <c r="A353" s="7"/>
      <c r="B353" s="59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">
      <c r="A354" s="221"/>
      <c r="B354" s="221"/>
      <c r="C354" s="7"/>
      <c r="D354" s="35"/>
      <c r="E354" s="35"/>
      <c r="F354" s="35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">
      <c r="A355" s="221"/>
      <c r="B355" s="221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">
      <c r="A356" s="35"/>
      <c r="B356" s="59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">
      <c r="A357" s="5"/>
      <c r="B357" s="1"/>
      <c r="C357" s="5"/>
      <c r="D357" s="5"/>
      <c r="E357" s="5"/>
      <c r="F357" s="5"/>
      <c r="G357" s="5"/>
      <c r="H357" s="7"/>
      <c r="I357" s="7"/>
      <c r="J357" s="7"/>
      <c r="K357" s="7"/>
      <c r="L357" s="7"/>
      <c r="M357" s="7"/>
      <c r="N357" s="7"/>
      <c r="O357" s="43"/>
    </row>
    <row r="358" spans="1:15" ht="14.25">
      <c r="A358" s="5"/>
      <c r="B358" s="1"/>
      <c r="C358" s="5"/>
      <c r="D358" s="5"/>
      <c r="E358" s="5"/>
      <c r="F358" s="5"/>
      <c r="G358" s="5"/>
      <c r="H358" s="7"/>
      <c r="I358" s="7"/>
      <c r="J358" s="7"/>
      <c r="K358" s="7"/>
      <c r="L358" s="7"/>
      <c r="M358" s="7"/>
      <c r="N358" s="7"/>
      <c r="O358" s="7"/>
    </row>
    <row r="359" spans="1:15" ht="14.25">
      <c r="A359" s="5"/>
      <c r="B359" s="1"/>
      <c r="C359" s="5"/>
      <c r="D359" s="5"/>
      <c r="E359" s="5"/>
      <c r="F359" s="5"/>
      <c r="G359" s="5"/>
      <c r="H359" s="7"/>
      <c r="I359" s="7"/>
      <c r="J359" s="7"/>
      <c r="K359" s="7"/>
      <c r="L359" s="7"/>
      <c r="M359" s="7"/>
      <c r="N359" s="7"/>
      <c r="O359" s="7"/>
    </row>
    <row r="360" spans="1:15" ht="14.25">
      <c r="A360" s="5"/>
      <c r="B360" s="1"/>
      <c r="C360" s="5"/>
      <c r="D360" s="5"/>
      <c r="E360" s="5"/>
      <c r="F360" s="5"/>
      <c r="G360" s="5"/>
      <c r="H360" s="7"/>
      <c r="I360" s="7"/>
      <c r="J360" s="7"/>
      <c r="K360" s="7"/>
      <c r="L360" s="7"/>
      <c r="M360" s="7"/>
      <c r="N360" s="7"/>
      <c r="O360" s="7"/>
    </row>
    <row r="361" spans="1:15" ht="14.25">
      <c r="A361" s="5"/>
      <c r="B361" s="1"/>
      <c r="C361" s="4"/>
      <c r="D361" s="5"/>
      <c r="E361" s="5"/>
      <c r="F361" s="5"/>
      <c r="G361" s="5"/>
      <c r="H361" s="7"/>
      <c r="I361" s="7"/>
      <c r="J361" s="7"/>
      <c r="K361" s="7"/>
      <c r="L361" s="7"/>
      <c r="M361" s="7"/>
      <c r="N361" s="7"/>
      <c r="O361" s="7"/>
    </row>
    <row r="362" spans="1:15" ht="14.25">
      <c r="A362" s="7"/>
      <c r="B362" s="2"/>
      <c r="C362" s="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4.25">
      <c r="A363" s="7"/>
      <c r="B363" s="2"/>
      <c r="C363" s="7"/>
      <c r="D363" s="3"/>
      <c r="E363" s="3"/>
      <c r="F363" s="3"/>
      <c r="G363" s="3"/>
      <c r="H363" s="7"/>
      <c r="I363" s="7"/>
      <c r="J363" s="7"/>
      <c r="K363" s="7"/>
      <c r="L363" s="7"/>
      <c r="M363" s="7"/>
      <c r="N363" s="7"/>
      <c r="O363" s="7"/>
    </row>
    <row r="364" spans="1:15" ht="15">
      <c r="A364" s="7"/>
      <c r="B364" s="2"/>
      <c r="C364" s="7"/>
      <c r="D364" s="95"/>
      <c r="E364" s="95"/>
      <c r="F364" s="95"/>
      <c r="G364" s="3"/>
      <c r="H364" s="7"/>
      <c r="I364" s="7"/>
      <c r="J364" s="7"/>
      <c r="K364" s="7"/>
      <c r="L364" s="7"/>
      <c r="M364" s="7"/>
      <c r="N364" s="7"/>
      <c r="O364" s="7"/>
    </row>
    <row r="365" spans="1:15" ht="14.25">
      <c r="A365" s="5"/>
      <c r="B365" s="1"/>
      <c r="C365" s="5"/>
      <c r="D365" s="5"/>
      <c r="E365" s="5"/>
      <c r="F365" s="5"/>
      <c r="G365" s="5"/>
      <c r="H365" s="7"/>
      <c r="I365" s="7"/>
      <c r="J365" s="7"/>
      <c r="K365" s="7"/>
      <c r="L365" s="7"/>
      <c r="M365" s="7"/>
      <c r="N365" s="7"/>
      <c r="O365" s="7"/>
    </row>
    <row r="366" spans="1:15" ht="14.25">
      <c r="A366" s="5"/>
      <c r="B366" s="1"/>
      <c r="C366" s="5"/>
      <c r="D366" s="5"/>
      <c r="E366" s="5"/>
      <c r="F366" s="5"/>
      <c r="G366" s="5"/>
      <c r="H366" s="7"/>
      <c r="I366" s="7"/>
      <c r="J366" s="7"/>
      <c r="K366" s="7"/>
      <c r="L366" s="7"/>
      <c r="M366" s="7"/>
      <c r="N366" s="7"/>
      <c r="O366" s="7"/>
    </row>
    <row r="367" spans="1:15" ht="14.25">
      <c r="A367" s="5"/>
      <c r="B367" s="1"/>
      <c r="C367" s="5"/>
      <c r="D367" s="5"/>
      <c r="E367" s="5"/>
      <c r="F367" s="5"/>
      <c r="G367" s="5"/>
      <c r="H367" s="7"/>
      <c r="I367" s="7"/>
      <c r="J367" s="7"/>
      <c r="K367" s="7"/>
      <c r="L367" s="7"/>
      <c r="M367" s="7"/>
      <c r="N367" s="7"/>
      <c r="O367" s="7"/>
    </row>
    <row r="368" spans="1:15" ht="14.25">
      <c r="A368" s="5"/>
      <c r="B368" s="1"/>
      <c r="C368" s="5"/>
      <c r="D368" s="5"/>
      <c r="E368" s="5"/>
      <c r="F368" s="5"/>
      <c r="G368" s="5"/>
      <c r="H368" s="7"/>
      <c r="I368" s="7"/>
      <c r="J368" s="7"/>
      <c r="K368" s="7"/>
      <c r="L368" s="7"/>
      <c r="M368" s="7"/>
      <c r="N368" s="7"/>
      <c r="O368" s="7"/>
    </row>
    <row r="369" spans="1:15" ht="14.25">
      <c r="A369" s="5"/>
      <c r="B369" s="1"/>
      <c r="C369" s="5"/>
      <c r="D369" s="5"/>
      <c r="E369" s="5"/>
      <c r="F369" s="5"/>
      <c r="G369" s="5"/>
      <c r="H369" s="7"/>
      <c r="I369" s="7"/>
      <c r="J369" s="7"/>
      <c r="K369" s="7"/>
      <c r="L369" s="7"/>
      <c r="M369" s="7"/>
      <c r="N369" s="7"/>
      <c r="O369" s="7"/>
    </row>
    <row r="370" spans="1:15" ht="14.25">
      <c r="A370" s="5"/>
      <c r="B370" s="1"/>
      <c r="C370" s="4"/>
      <c r="D370" s="96"/>
      <c r="E370" s="96"/>
      <c r="F370" s="96"/>
      <c r="G370" s="96"/>
      <c r="H370" s="3"/>
      <c r="I370" s="3"/>
      <c r="J370" s="3"/>
      <c r="K370" s="3"/>
      <c r="L370" s="3"/>
      <c r="M370" s="3"/>
      <c r="N370" s="3"/>
      <c r="O370" s="3"/>
    </row>
    <row r="371" spans="1:15" ht="14.25">
      <c r="A371" s="5"/>
      <c r="B371" s="1"/>
      <c r="C371" s="4"/>
      <c r="D371" s="96"/>
      <c r="E371" s="96"/>
      <c r="F371" s="96"/>
      <c r="G371" s="96"/>
      <c r="H371" s="3"/>
      <c r="I371" s="3"/>
      <c r="J371" s="3"/>
      <c r="K371" s="3"/>
      <c r="L371" s="3"/>
      <c r="M371" s="3"/>
      <c r="N371" s="3"/>
      <c r="O371" s="3"/>
    </row>
    <row r="372" spans="1:15" ht="14.25">
      <c r="A372" s="5"/>
      <c r="B372" s="1"/>
      <c r="C372" s="4"/>
      <c r="D372" s="96"/>
      <c r="E372" s="96"/>
      <c r="F372" s="96"/>
      <c r="G372" s="96"/>
      <c r="H372" s="3"/>
      <c r="I372" s="3"/>
      <c r="J372" s="3"/>
      <c r="K372" s="3"/>
      <c r="L372" s="3"/>
      <c r="M372" s="3"/>
      <c r="N372" s="3"/>
      <c r="O372" s="3"/>
    </row>
    <row r="373" spans="1:15" ht="14.25">
      <c r="A373" s="7"/>
      <c r="B373" s="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4.25">
      <c r="A374" s="5"/>
      <c r="B374" s="1"/>
      <c r="C374" s="5"/>
      <c r="D374" s="5"/>
      <c r="E374" s="5"/>
      <c r="F374" s="5"/>
      <c r="G374" s="5"/>
      <c r="H374" s="7"/>
      <c r="I374" s="7"/>
      <c r="J374" s="7"/>
      <c r="K374" s="7"/>
      <c r="L374" s="7"/>
      <c r="M374" s="7"/>
      <c r="N374" s="7"/>
      <c r="O374" s="7"/>
    </row>
    <row r="375" spans="1:15" ht="14.25">
      <c r="A375" s="5"/>
      <c r="B375" s="1"/>
      <c r="C375" s="5"/>
      <c r="D375" s="5"/>
      <c r="E375" s="5"/>
      <c r="F375" s="5"/>
      <c r="G375" s="5"/>
      <c r="H375" s="7"/>
      <c r="I375" s="7"/>
      <c r="J375" s="7"/>
      <c r="K375" s="7"/>
      <c r="L375" s="7"/>
      <c r="M375" s="7"/>
      <c r="N375" s="7"/>
      <c r="O375" s="7"/>
    </row>
    <row r="376" spans="1:15" ht="14.25">
      <c r="A376" s="5"/>
      <c r="B376" s="1"/>
      <c r="C376" s="5"/>
      <c r="D376" s="5"/>
      <c r="E376" s="5"/>
      <c r="F376" s="5"/>
      <c r="G376" s="5"/>
      <c r="H376" s="7"/>
      <c r="I376" s="7"/>
      <c r="J376" s="7"/>
      <c r="K376" s="7"/>
      <c r="L376" s="7"/>
      <c r="M376" s="7"/>
      <c r="N376" s="7"/>
      <c r="O376" s="7"/>
    </row>
    <row r="377" spans="1:15" ht="14.25">
      <c r="A377" s="5"/>
      <c r="B377" s="1"/>
      <c r="C377" s="5"/>
      <c r="D377" s="5"/>
      <c r="E377" s="5"/>
      <c r="F377" s="5"/>
      <c r="G377" s="5"/>
      <c r="H377" s="7"/>
      <c r="I377" s="7"/>
      <c r="J377" s="7"/>
      <c r="K377" s="7"/>
      <c r="L377" s="7"/>
      <c r="M377" s="7"/>
      <c r="N377" s="7"/>
      <c r="O377" s="7"/>
    </row>
    <row r="378" spans="1:15" ht="14.25">
      <c r="A378" s="5"/>
      <c r="B378" s="1"/>
      <c r="C378" s="5"/>
      <c r="D378" s="5"/>
      <c r="E378" s="5"/>
      <c r="F378" s="5"/>
      <c r="G378" s="5"/>
      <c r="H378" s="7"/>
      <c r="I378" s="7"/>
      <c r="J378" s="7"/>
      <c r="K378" s="7"/>
      <c r="L378" s="7"/>
      <c r="M378" s="7"/>
      <c r="N378" s="7"/>
      <c r="O378" s="7"/>
    </row>
    <row r="379" spans="1:15" ht="14.25">
      <c r="A379" s="5"/>
      <c r="B379" s="1"/>
      <c r="C379" s="5"/>
      <c r="D379" s="5"/>
      <c r="E379" s="5"/>
      <c r="F379" s="5"/>
      <c r="G379" s="5"/>
      <c r="H379" s="7"/>
      <c r="I379" s="7"/>
      <c r="J379" s="7"/>
      <c r="K379" s="7"/>
      <c r="L379" s="7"/>
      <c r="M379" s="7"/>
      <c r="N379" s="7"/>
      <c r="O379" s="7"/>
    </row>
    <row r="380" spans="1:15" ht="14.25">
      <c r="A380" s="5"/>
      <c r="B380" s="1"/>
      <c r="C380" s="4"/>
      <c r="D380" s="5"/>
      <c r="E380" s="5"/>
      <c r="F380" s="5"/>
      <c r="G380" s="5"/>
      <c r="H380" s="7"/>
      <c r="I380" s="7"/>
      <c r="J380" s="7"/>
      <c r="K380" s="7"/>
      <c r="L380" s="7"/>
      <c r="M380" s="7"/>
      <c r="N380" s="7"/>
      <c r="O380" s="7"/>
    </row>
    <row r="381" spans="1:15" ht="14.25">
      <c r="A381" s="7"/>
      <c r="B381" s="2"/>
      <c r="C381" s="5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4.25">
      <c r="A382" s="7"/>
      <c r="B382" s="2"/>
      <c r="C382" s="5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4.25">
      <c r="A383" s="7"/>
      <c r="B383" s="2"/>
      <c r="C383" s="5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4.25">
      <c r="A384" s="7"/>
      <c r="B384" s="2"/>
      <c r="C384" s="5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</sheetData>
  <sheetProtection/>
  <mergeCells count="78">
    <mergeCell ref="A338:O338"/>
    <mergeCell ref="D287:E287"/>
    <mergeCell ref="A355:B355"/>
    <mergeCell ref="A354:B354"/>
    <mergeCell ref="A321:B321"/>
    <mergeCell ref="A288:B288"/>
    <mergeCell ref="A314:O314"/>
    <mergeCell ref="D316:F316"/>
    <mergeCell ref="H316:K316"/>
    <mergeCell ref="L316:O316"/>
    <mergeCell ref="D320:E320"/>
    <mergeCell ref="D248:F248"/>
    <mergeCell ref="L248:O248"/>
    <mergeCell ref="D252:E252"/>
    <mergeCell ref="A253:B253"/>
    <mergeCell ref="A280:O280"/>
    <mergeCell ref="D282:F282"/>
    <mergeCell ref="H282:K282"/>
    <mergeCell ref="L282:O282"/>
    <mergeCell ref="A258:O258"/>
    <mergeCell ref="A211:O211"/>
    <mergeCell ref="D213:F213"/>
    <mergeCell ref="L213:O213"/>
    <mergeCell ref="D218:E218"/>
    <mergeCell ref="A219:B219"/>
    <mergeCell ref="A246:O246"/>
    <mergeCell ref="A224:O224"/>
    <mergeCell ref="A149:B149"/>
    <mergeCell ref="A174:O174"/>
    <mergeCell ref="D176:F176"/>
    <mergeCell ref="L176:O176"/>
    <mergeCell ref="D180:E180"/>
    <mergeCell ref="A181:B181"/>
    <mergeCell ref="A154:O154"/>
    <mergeCell ref="A78:B78"/>
    <mergeCell ref="A107:O107"/>
    <mergeCell ref="D109:F109"/>
    <mergeCell ref="L109:O109"/>
    <mergeCell ref="D113:E113"/>
    <mergeCell ref="A114:B114"/>
    <mergeCell ref="A94:O94"/>
    <mergeCell ref="A84:O84"/>
    <mergeCell ref="D43:E43"/>
    <mergeCell ref="A44:B44"/>
    <mergeCell ref="B71:P71"/>
    <mergeCell ref="D73:F73"/>
    <mergeCell ref="L73:O73"/>
    <mergeCell ref="D77:E77"/>
    <mergeCell ref="A60:O60"/>
    <mergeCell ref="L4:O4"/>
    <mergeCell ref="D9:E9"/>
    <mergeCell ref="A10:B10"/>
    <mergeCell ref="A37:O37"/>
    <mergeCell ref="D39:F39"/>
    <mergeCell ref="H39:K39"/>
    <mergeCell ref="L39:O39"/>
    <mergeCell ref="A26:O26"/>
    <mergeCell ref="A15:O15"/>
    <mergeCell ref="A303:O303"/>
    <mergeCell ref="A142:O142"/>
    <mergeCell ref="D144:F144"/>
    <mergeCell ref="L144:O144"/>
    <mergeCell ref="D148:E148"/>
    <mergeCell ref="A1:F1"/>
    <mergeCell ref="G1:O1"/>
    <mergeCell ref="A2:O2"/>
    <mergeCell ref="D4:F4"/>
    <mergeCell ref="H4:K4"/>
    <mergeCell ref="A327:O327"/>
    <mergeCell ref="A49:O49"/>
    <mergeCell ref="A119:O119"/>
    <mergeCell ref="A186:O186"/>
    <mergeCell ref="A293:O293"/>
    <mergeCell ref="A130:O130"/>
    <mergeCell ref="A164:O164"/>
    <mergeCell ref="A197:O197"/>
    <mergeCell ref="A234:O234"/>
    <mergeCell ref="A269:O269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Ruslan</cp:lastModifiedBy>
  <cp:lastPrinted>2021-02-01T11:47:54Z</cp:lastPrinted>
  <dcterms:created xsi:type="dcterms:W3CDTF">2014-11-19T14:12:38Z</dcterms:created>
  <dcterms:modified xsi:type="dcterms:W3CDTF">2021-02-15T09:43:02Z</dcterms:modified>
  <cp:category/>
  <cp:version/>
  <cp:contentType/>
  <cp:contentStatus/>
</cp:coreProperties>
</file>